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452" yWindow="708" windowWidth="22056" windowHeight="11436" firstSheet="6" activeTab="10"/>
  </bookViews>
  <sheets>
    <sheet name="New Position Checklist" sheetId="41" r:id="rId1"/>
    <sheet name="Dates-Rates" sheetId="38" r:id="rId2"/>
    <sheet name="Example - Summary" sheetId="12" r:id="rId3"/>
    <sheet name="Example - Decision Unit E232" sheetId="39" r:id="rId4"/>
    <sheet name="Example - NEBS Actuals Download" sheetId="18" r:id="rId5"/>
    <sheet name="Example - NEBS 130 Download" sheetId="19" r:id="rId6"/>
    <sheet name="Instructions" sheetId="22" r:id="rId7"/>
    <sheet name="NEBS Actuals Template" sheetId="20" r:id="rId8"/>
    <sheet name="NEBS 130 Template" sheetId="21" r:id="rId9"/>
    <sheet name="Summary Template" sheetId="24" r:id="rId10"/>
    <sheet name="Decision Unit Template" sheetId="23" r:id="rId11"/>
  </sheets>
  <externalReferences>
    <externalReference r:id="rId12"/>
    <externalReference r:id="rId13"/>
    <externalReference r:id="rId14"/>
  </externalReferences>
  <definedNames>
    <definedName name="\A" localSheetId="10">#REF!</definedName>
    <definedName name="\A" localSheetId="3">#REF!</definedName>
    <definedName name="\A" localSheetId="9">#REF!</definedName>
    <definedName name="\A">#REF!</definedName>
    <definedName name="_1PAGE_1" localSheetId="10">#REF!</definedName>
    <definedName name="_1PAGE_1" localSheetId="3">#REF!</definedName>
    <definedName name="_1PAGE_1" localSheetId="9">#REF!</definedName>
    <definedName name="_1PAGE_1">#REF!</definedName>
    <definedName name="_2PAGE_2" localSheetId="10">#REF!</definedName>
    <definedName name="_2PAGE_2" localSheetId="3">#REF!</definedName>
    <definedName name="_2PAGE_2" localSheetId="9">#REF!</definedName>
    <definedName name="_2PAGE_2">#REF!</definedName>
    <definedName name="_Key1" localSheetId="10" hidden="1">#REF!</definedName>
    <definedName name="_Key1" localSheetId="3" hidden="1">#REF!</definedName>
    <definedName name="_Key1" localSheetId="9" hidden="1">#REF!</definedName>
    <definedName name="_Key1" hidden="1">#REF!</definedName>
    <definedName name="_Order1" hidden="1">255</definedName>
    <definedName name="_Order2" hidden="1">255</definedName>
    <definedName name="_Sort" localSheetId="10" hidden="1">#REF!</definedName>
    <definedName name="_Sort" localSheetId="3" hidden="1">#REF!</definedName>
    <definedName name="_Sort" localSheetId="9" hidden="1">#REF!</definedName>
    <definedName name="_Sort" hidden="1">#REF!</definedName>
    <definedName name="A_A8.A_B35" localSheetId="10">#REF!</definedName>
    <definedName name="A_A8.A_B35" localSheetId="3">#REF!</definedName>
    <definedName name="A_A8.A_B35" localSheetId="9">#REF!</definedName>
    <definedName name="A_A8.A_B35">#REF!</definedName>
    <definedName name="bdg" localSheetId="10">#REF!</definedName>
    <definedName name="bdg" localSheetId="3">#REF!</definedName>
    <definedName name="bdg" localSheetId="9">#REF!</definedName>
    <definedName name="bdg">#REF!</definedName>
    <definedName name="beddays" localSheetId="10">#REF!</definedName>
    <definedName name="beddays" localSheetId="3">#REF!</definedName>
    <definedName name="beddays" localSheetId="9">#REF!</definedName>
    <definedName name="beddays">#REF!</definedName>
    <definedName name="cola2" localSheetId="10">#REF!</definedName>
    <definedName name="cola2" localSheetId="3">#REF!</definedName>
    <definedName name="cola2" localSheetId="9">#REF!</definedName>
    <definedName name="cola2">#REF!</definedName>
    <definedName name="COVER" localSheetId="10">[1]SUM!#REF!</definedName>
    <definedName name="COVER" localSheetId="3">[1]SUM!#REF!</definedName>
    <definedName name="COVER" localSheetId="9">[1]SUM!#REF!</definedName>
    <definedName name="COVER">[1]SUM!#REF!</definedName>
    <definedName name="DOWNLOAD" localSheetId="10">#REF!</definedName>
    <definedName name="DOWNLOAD" localSheetId="3">#REF!</definedName>
    <definedName name="DOWNLOAD" localSheetId="9">#REF!</definedName>
    <definedName name="DOWNLOAD">#REF!</definedName>
    <definedName name="EquipAdmin" localSheetId="10">#REF!</definedName>
    <definedName name="EquipAdmin" localSheetId="3">#REF!</definedName>
    <definedName name="EquipAdmin" localSheetId="9">#REF!</definedName>
    <definedName name="EquipAdmin">#REF!</definedName>
    <definedName name="EquipSup" localSheetId="10">#REF!</definedName>
    <definedName name="EquipSup" localSheetId="3">#REF!</definedName>
    <definedName name="EquipSup" localSheetId="9">#REF!</definedName>
    <definedName name="EquipSup">#REF!</definedName>
    <definedName name="five">'[2]System Costs FY02'!$B$11</definedName>
    <definedName name="Location" localSheetId="10">'Dates-Rates'!$C$48:$C$52</definedName>
    <definedName name="Location" localSheetId="3">'Dates-Rates'!$C$48:$C$52</definedName>
    <definedName name="Location">#REF!</definedName>
    <definedName name="long3" hidden="1">{"E375(1)-00",#N/A,FALSE,"E1";"E375(1)-01",#N/A,FALSE,"E1";"E375(1)-03",#N/A,FALSE,"E1";"E375(1)-04",#N/A,FALSE,"E1";"E375(1)-05",#N/A,FALSE,"E1";"E375(1)-07",#N/A,FALSE,"E1";"E375(1)-26",#N/A,FALSE,"E1";"E375(1)-30",#N/A,FALSE,"E1";"E375(1)-59",#N/A,FALSE,"E1";"E375(1)-88",#N/A,FALSE,"E1";"E375(1)-89",#N/A,FALSE,"E1";"375(1)-TOTEXP",#N/A,FALSE,"E1";"E125(1)-00",#N/A,FALSE,"E2";"E125(1)-01",#N/A,FALSE,"E2";"E125(1)-04",#N/A,FALSE,"E2";"E275-00",#N/A,FALSE,"E3";"E275-04",#N/A,FALSE,"E3";"E375(2)-00",#N/A,FALSE,"E4";"E375(3)-03",#N/A,FALSE,"E4";"E375(3)-04",#N/A,FALSE,"E4";"E375(3)-00",#N/A,FALSE,"E4";"E375(3)-03",#N/A,FALSE,"E5";"E375(3)-04",#N/A,FALSE,"E5";"E375(3)-05",#N/A,FALSE,"E5";"E375(4)-00",#N/A,FALSE,"E6";"E375(4)-07",#N/A,FALSE,"E6";"E175-00",#N/A,FALSE,"E7";"E175-30",#N/A,FALSE,"E7";"E125(2)-00",#N/A,FALSE,"E8";"E125(2)-01",#N/A,FALSE,"E8";"E125(2)-04",#N/A,FALSE,"E8";"E125(2)-05",#N/A,FALSE,"E8";"E125(2)-07",#N/A,FALSE,"E8";"E125(2)-26",#N/A,FALSE,"E8";"E125(2)-30",#N/A,FALSE,"E8";"E250-00",#N/A,FALSE,"E9";"E250-04",#N/A,FALSE,"E9";"E710-00",#N/A,FALSE,"E10";"E710-04",#N/A,FALSE,"E10";"E710-05",#N/A,FALSE,"E10";"E720-00",#N/A,FALSE,"E11";"E720-05",#N/A,FALSE,"E11";"E125(3)-00",#N/A,FALSE,"E12";"E125(3)-04",#N/A,FALSE,"E12"}</definedName>
    <definedName name="long4" hidden="1">{"E375(1)-00",#N/A,FALSE,"E1";"E375(1)-01",#N/A,FALSE,"E1";"E375(1)-03",#N/A,FALSE,"E1";"E375(1)-04",#N/A,FALSE,"E1";"E375(1)-05",#N/A,FALSE,"E1";"E375(1)-07",#N/A,FALSE,"E1";"E375(1)-26",#N/A,FALSE,"E1";"E375(1)-30",#N/A,FALSE,"E1";"E375(1)-59",#N/A,FALSE,"E1";"E375(1)-88",#N/A,FALSE,"E1";"E375(1)-89",#N/A,FALSE,"E1";"375(1)-TOTEXP",#N/A,FALSE,"E1";"E125(1)-00",#N/A,FALSE,"E2";"E125(1)-01",#N/A,FALSE,"E2";"E125(1)-04",#N/A,FALSE,"E2";"E275-00",#N/A,FALSE,"E3";"E275-04",#N/A,FALSE,"E3";"E375(2)-00",#N/A,FALSE,"E4";"E375(3)-03",#N/A,FALSE,"E4";"E375(3)-04",#N/A,FALSE,"E4";"E375(3)-00",#N/A,FALSE,"E4";"E375(3)-03",#N/A,FALSE,"E5";"E375(3)-04",#N/A,FALSE,"E5";"E375(3)-05",#N/A,FALSE,"E5";"E375(4)-00",#N/A,FALSE,"E6";"E375(4)-07",#N/A,FALSE,"E6";"E175-00",#N/A,FALSE,"E7";"E175-30",#N/A,FALSE,"E7";"E125(2)-00",#N/A,FALSE,"E8";"E125(2)-01",#N/A,FALSE,"E8";"E125(2)-04",#N/A,FALSE,"E8";"E125(2)-05",#N/A,FALSE,"E8";"E125(2)-07",#N/A,FALSE,"E8";"E125(2)-26",#N/A,FALSE,"E8";"E125(2)-30",#N/A,FALSE,"E8";"E250-00",#N/A,FALSE,"E9";"E250-04",#N/A,FALSE,"E9";"E710-00",#N/A,FALSE,"E10";"E710-04",#N/A,FALSE,"E10";"E710-05",#N/A,FALSE,"E10";"E720-00",#N/A,FALSE,"E11";"E720-05",#N/A,FALSE,"E11";"E125(3)-00",#N/A,FALSE,"E12";"E125(3)-04",#N/A,FALSE,"E12"}</definedName>
    <definedName name="Medical___16_547_per_day" localSheetId="10">#REF!</definedName>
    <definedName name="Medical___16_547_per_day" localSheetId="3">#REF!</definedName>
    <definedName name="Medical___16_547_per_day" localSheetId="9">#REF!</definedName>
    <definedName name="Medical___16_547_per_day">#REF!</definedName>
    <definedName name="new" hidden="1">{"BASE 00 REVENUE",#N/A,FALSE,"BASE";"B01",#N/A,FALSE,"BASE";"B02",#N/A,FALSE,"BASE";"B03",#N/A,FALSE,"BASE";"B04",#N/A,FALSE,"BASE";"B05",#N/A,FALSE,"BASE";"B07",#N/A,FALSE,"BASE";"B08",#N/A,FALSE,"BASE";"B10",#N/A,FALSE,"BASE";"B11",#N/A,FALSE,"BASE";"B16",#N/A,FALSE,"BASE";"B17",#N/A,FALSE,"BASE";"B20",#N/A,FALSE,"BASE";"B21",#N/A,FALSE,"BASE";"B22",#N/A,FALSE,"BASE";"B23",#N/A,FALSE,"BASE";"B25",#N/A,FALSE,"BASE";"B26",#N/A,FALSE,"BASE";"B30",#N/A,FALSE,"BASE";"B37",#N/A,FALSE,"BASE";"B43",#N/A,FALSE,"BASE";"B59",#N/A,FALSE,"BASE";"B88",#N/A,FALSE,"BASE";"B89",#N/A,FALSE,"BASE";"BTOTAL",#N/A,FALSE,"BASE"}</definedName>
    <definedName name="onethreeonehalf">'[3]System Costs FY02'!$B$12</definedName>
    <definedName name="PAGE" localSheetId="10">#REF!</definedName>
    <definedName name="PAGE" localSheetId="3">#REF!</definedName>
    <definedName name="PAGE" localSheetId="9">#REF!</definedName>
    <definedName name="PAGE">#REF!</definedName>
    <definedName name="PAGE1" localSheetId="10">#REF!</definedName>
    <definedName name="PAGE1" localSheetId="3">#REF!</definedName>
    <definedName name="PAGE1" localSheetId="9">#REF!</definedName>
    <definedName name="PAGE1">#REF!</definedName>
    <definedName name="partialbeddays" localSheetId="10">#REF!</definedName>
    <definedName name="partialbeddays" localSheetId="3">#REF!</definedName>
    <definedName name="partialbeddays" localSheetId="9">#REF!</definedName>
    <definedName name="partialbeddays">#REF!</definedName>
    <definedName name="partialyear" localSheetId="10">#REF!</definedName>
    <definedName name="partialyear" localSheetId="3">#REF!</definedName>
    <definedName name="partialyear" localSheetId="9">#REF!</definedName>
    <definedName name="partialyear">#REF!</definedName>
    <definedName name="_xlnm.Print_Area" localSheetId="10">'Decision Unit Template'!$A$1:$Q$127</definedName>
    <definedName name="_xlnm.Print_Area" localSheetId="3">'Example - Decision Unit E232'!$A$1:$Q$119</definedName>
    <definedName name="_xlnm.Print_Area" localSheetId="2">'Example - Summary'!$A$1:$F$24</definedName>
    <definedName name="_xlnm.Print_Area" localSheetId="6">Instructions!$A$1:$B$47</definedName>
    <definedName name="_xlnm.Print_Area" localSheetId="9">'Summary Template'!$A$1:$F$24</definedName>
    <definedName name="_xlnm.Print_Titles" localSheetId="10">'Decision Unit Template'!$1:$7</definedName>
    <definedName name="_xlnm.Print_Titles" localSheetId="3">'Example - Decision Unit E232'!$1:$7</definedName>
    <definedName name="Printer" localSheetId="10">#REF!</definedName>
    <definedName name="Printer" localSheetId="3">#REF!</definedName>
    <definedName name="Printer" localSheetId="9">#REF!</definedName>
    <definedName name="Printer">#REF!</definedName>
    <definedName name="rate30" localSheetId="10">#REF!</definedName>
    <definedName name="rate30" localSheetId="3">#REF!</definedName>
    <definedName name="rate30" localSheetId="9">#REF!</definedName>
    <definedName name="rate30">#REF!</definedName>
    <definedName name="swstaff" localSheetId="10">#REF!</definedName>
    <definedName name="swstaff" localSheetId="3">#REF!</definedName>
    <definedName name="swstaff" localSheetId="9">#REF!</definedName>
    <definedName name="swstaff">#REF!</definedName>
    <definedName name="wrn.BASE." hidden="1">{"BASE 00 REVENUE",#N/A,FALSE,"BASE";"B01",#N/A,FALSE,"BASE";"B03",#N/A,FALSE,"BASE";"B04",#N/A,FALSE,"BASE";"B05",#N/A,FALSE,"BASE";"B08",#N/A,FALSE,"BASE";"B07",#N/A,FALSE,"BASE";"B16",#N/A,FALSE,"BASE";"B17",#N/A,FALSE,"BASE";"B18",#N/A,FALSE,"BASE";"B19",#N/A,FALSE,"BASE";"B20",#N/A,FALSE,"BASE";"B26",#N/A,FALSE,"BASE";"B30",#N/A,FALSE,"BASE";"36",#N/A,FALSE,"BASE";"B40",#N/A,FALSE,"BASE";"B59",#N/A,FALSE,"BASE";"B88",#N/A,FALSE,"BASE";"B89",#N/A,FALSE,"BASE";"BTOTAL",#N/A,FALSE,"BASE"}</definedName>
    <definedName name="wrn.BASE._.SECTION." hidden="1">{"BASE 00 REVENUE",#N/A,FALSE,"BASE";"B01",#N/A,FALSE,"BASE";"B02",#N/A,FALSE,"BASE";"B03",#N/A,FALSE,"BASE";"B04",#N/A,FALSE,"BASE";"B05",#N/A,FALSE,"BASE";"B07",#N/A,FALSE,"BASE";"B08",#N/A,FALSE,"BASE";"B10",#N/A,FALSE,"BASE";"B11",#N/A,FALSE,"BASE";"B16",#N/A,FALSE,"BASE";"B17",#N/A,FALSE,"BASE";"B20",#N/A,FALSE,"BASE";"B21",#N/A,FALSE,"BASE";"B22",#N/A,FALSE,"BASE";"B23",#N/A,FALSE,"BASE";"B25",#N/A,FALSE,"BASE";"B26",#N/A,FALSE,"BASE";"B30",#N/A,FALSE,"BASE";"B37",#N/A,FALSE,"BASE";"B43",#N/A,FALSE,"BASE";"B59",#N/A,FALSE,"BASE";"B88",#N/A,FALSE,"BASE";"B89",#N/A,FALSE,"BASE";"BTOTAL",#N/A,FALSE,"BASE"}</definedName>
    <definedName name="wrn.ENHANCEMENTS." hidden="1">{"E375(1)-00",#N/A,FALSE,"E1";"E375(1)-01",#N/A,FALSE,"E1";"E375(1)-03",#N/A,FALSE,"E1";"E375(1)-04",#N/A,FALSE,"E1";"E375(1)-05",#N/A,FALSE,"E1";"E375(1)-07",#N/A,FALSE,"E1";"E375(1)-26",#N/A,FALSE,"E1";"E375(1)-30",#N/A,FALSE,"E1";"E375(1)-59",#N/A,FALSE,"E1";"E375(1)-88",#N/A,FALSE,"E1";"E375(1)-89",#N/A,FALSE,"E1";"375(1)-TOTEXP",#N/A,FALSE,"E1";"E125(1)-00",#N/A,FALSE,"E2";"E125(1)-01",#N/A,FALSE,"E2";"E125(1)-04",#N/A,FALSE,"E2";"E275-00",#N/A,FALSE,"E3";"E275-04",#N/A,FALSE,"E3";"E375(2)-00",#N/A,FALSE,"E4";"E375(3)-03",#N/A,FALSE,"E4";"E375(3)-04",#N/A,FALSE,"E4";"E375(3)-00",#N/A,FALSE,"E4";"E375(3)-03",#N/A,FALSE,"E5";"E375(3)-04",#N/A,FALSE,"E5";"E375(3)-05",#N/A,FALSE,"E5";"E375(4)-00",#N/A,FALSE,"E6";"E375(4)-07",#N/A,FALSE,"E6";"E175-00",#N/A,FALSE,"E7";"E175-30",#N/A,FALSE,"E7";"E125(2)-00",#N/A,FALSE,"E8";"E125(2)-01",#N/A,FALSE,"E8";"E125(2)-04",#N/A,FALSE,"E8";"E125(2)-05",#N/A,FALSE,"E8";"E125(2)-07",#N/A,FALSE,"E8";"E125(2)-26",#N/A,FALSE,"E8";"E125(2)-30",#N/A,FALSE,"E8";"E250-00",#N/A,FALSE,"E9";"E250-04",#N/A,FALSE,"E9";"E710-00",#N/A,FALSE,"E10";"E710-04",#N/A,FALSE,"E10";"E710-05",#N/A,FALSE,"E10";"E720-00",#N/A,FALSE,"E11";"E720-05",#N/A,FALSE,"E11";"E125(3)-00",#N/A,FALSE,"E12";"E125(3)-04",#N/A,FALSE,"E12"}</definedName>
    <definedName name="wrn.long" hidden="1">{"M100-00",#N/A,FALSE,"M100";"M100-04",#N/A,FALSE,"M100";"M100-59",#N/A,FALSE,"M100";"M100-TOTAL",#N/A,FALSE,"M100";"M200-00",#N/A,FALSE,"M200";"M200-01",#N/A,FALSE,"M200";"M200-03",#N/A,FALSE,"M200";"M200-04",#N/A,FALSE,"M200";"M200-05",#N/A,FALSE,"M200";"M200-07",#N/A,FALSE,"M200";"M200-26",#N/A,FALSE,"M200";"M200-59",#N/A,FALSE,"M200";"M200-30",#N/A,FALSE,"M200";"M200-88",#N/A,FALSE,"M200";"M200-89",#N/A,FALSE,"M200";"M200-TOTAL",#N/A,FALSE,"M200"}</definedName>
    <definedName name="wrn.MAINT." hidden="1">{"M100-00",#N/A,FALSE,"M100";"M100-04",#N/A,FALSE,"M100";"M100-59",#N/A,FALSE,"M100";"M100-TOTAL",#N/A,FALSE,"M100";"M200-00",#N/A,FALSE,"M200";"M200-01",#N/A,FALSE,"M200";"M200-03",#N/A,FALSE,"M200";"M200-04",#N/A,FALSE,"M200";"M200-05",#N/A,FALSE,"M200";"M200-07",#N/A,FALSE,"M200";"M200-26",#N/A,FALSE,"M200";"M200-59",#N/A,FALSE,"M200";"M200-30",#N/A,FALSE,"M200";"M200-88",#N/A,FALSE,"M200";"M200-89",#N/A,FALSE,"M200";"M200-TOTAL",#N/A,FALSE,"M200"}</definedName>
    <definedName name="wrn.mainta." hidden="1">{"M100-00",#N/A,FALSE,"M100";"M100-04",#N/A,FALSE,"M100";"M100-59",#N/A,FALSE,"M100";"M100-TOTAL",#N/A,FALSE,"M100";"M200-00",#N/A,FALSE,"M200";"M200-01",#N/A,FALSE,"M200";"M200-03",#N/A,FALSE,"M200";"M200-04",#N/A,FALSE,"M200";"M200-05",#N/A,FALSE,"M200";"M200-07",#N/A,FALSE,"M200";"M200-26",#N/A,FALSE,"M200";"M200-59",#N/A,FALSE,"M200";"M200-30",#N/A,FALSE,"M200";"M200-88",#N/A,FALSE,"M200";"M200-89",#N/A,FALSE,"M200";"M200-TOTAL",#N/A,FALSE,"M200"}</definedName>
    <definedName name="wrn.NARRATIVE._.PROGRAM._.DESCRIPTION." hidden="1">{"PROGSTMT",#N/A,FALSE,"PROGSTMT"}</definedName>
    <definedName name="wrn.Operating._.Statement." hidden="1">{"Surplus",#N/A,TRUE,"Surplus";"12ths",#N/A,TRUE,"12ths";"Main Statement",#N/A,TRUE,"Main Statement"}</definedName>
    <definedName name="wrn.PROGSTMT." hidden="1">{"PROGSTMT",#N/A,FALSE,"PROGSTMT"}</definedName>
    <definedName name="YEARCOST" localSheetId="10">#REF!</definedName>
    <definedName name="YEARCOST" localSheetId="3">#REF!</definedName>
    <definedName name="YEARCOST" localSheetId="9">#REF!</definedName>
    <definedName name="YEARCOST">#REF!</definedName>
  </definedNames>
  <calcPr calcId="145621"/>
</workbook>
</file>

<file path=xl/calcChain.xml><?xml version="1.0" encoding="utf-8"?>
<calcChain xmlns="http://schemas.openxmlformats.org/spreadsheetml/2006/main">
  <c r="F10" i="23" l="1"/>
  <c r="K43" i="23" l="1"/>
  <c r="K44" i="23"/>
  <c r="K45" i="23"/>
  <c r="K46" i="23"/>
  <c r="K42" i="23"/>
  <c r="K47" i="23" s="1"/>
  <c r="I42" i="23"/>
  <c r="E119" i="39" l="1"/>
  <c r="G77" i="23" l="1"/>
  <c r="K22" i="23"/>
  <c r="K23" i="23"/>
  <c r="K24" i="23"/>
  <c r="K25" i="23"/>
  <c r="K26" i="23"/>
  <c r="K27" i="23"/>
  <c r="K28" i="23"/>
  <c r="K29" i="23"/>
  <c r="K30" i="23"/>
  <c r="K31" i="23"/>
  <c r="K32" i="23"/>
  <c r="K33" i="23"/>
  <c r="K34" i="23"/>
  <c r="K35" i="23"/>
  <c r="L21" i="23"/>
  <c r="L22" i="23"/>
  <c r="L23" i="23"/>
  <c r="L24" i="23"/>
  <c r="L25" i="23"/>
  <c r="L26" i="23"/>
  <c r="L27" i="23"/>
  <c r="L28" i="23"/>
  <c r="L29" i="23"/>
  <c r="L30" i="23"/>
  <c r="L31" i="23"/>
  <c r="L32" i="23"/>
  <c r="L33" i="23"/>
  <c r="L34" i="23"/>
  <c r="L35" i="23"/>
  <c r="K21" i="23"/>
  <c r="L20" i="23"/>
  <c r="K20" i="23"/>
  <c r="I68" i="23"/>
  <c r="I69" i="23"/>
  <c r="I70" i="23"/>
  <c r="H69" i="23"/>
  <c r="H70" i="23"/>
  <c r="H68" i="23"/>
  <c r="G69" i="23"/>
  <c r="G70" i="23"/>
  <c r="F69" i="23"/>
  <c r="E67" i="23"/>
  <c r="E68" i="23"/>
  <c r="E69" i="23"/>
  <c r="D68" i="23"/>
  <c r="D69" i="23"/>
  <c r="D70" i="23"/>
  <c r="D71" i="23"/>
  <c r="F66" i="23"/>
  <c r="E70" i="23"/>
  <c r="D65" i="23"/>
  <c r="I65" i="23" s="1"/>
  <c r="D67" i="23"/>
  <c r="D66" i="23"/>
  <c r="E66" i="23" s="1"/>
  <c r="D42" i="23"/>
  <c r="G42" i="23" s="1"/>
  <c r="H42" i="23"/>
  <c r="J42" i="23"/>
  <c r="D43" i="23"/>
  <c r="E43" i="23"/>
  <c r="G43" i="23"/>
  <c r="H43" i="23"/>
  <c r="I43" i="23"/>
  <c r="J43" i="23"/>
  <c r="D44" i="23"/>
  <c r="E44" i="23" s="1"/>
  <c r="H44" i="23"/>
  <c r="J44" i="23"/>
  <c r="D45" i="23"/>
  <c r="E45" i="23" s="1"/>
  <c r="H45" i="23"/>
  <c r="J45" i="23"/>
  <c r="D46" i="23"/>
  <c r="G46" i="23" s="1"/>
  <c r="H46" i="23"/>
  <c r="J46" i="23"/>
  <c r="D53" i="23"/>
  <c r="E53" i="23"/>
  <c r="F53" i="23"/>
  <c r="D54" i="23"/>
  <c r="E54" i="23"/>
  <c r="F54" i="23"/>
  <c r="G54" i="23" s="1"/>
  <c r="D57" i="23"/>
  <c r="G57" i="23" s="1"/>
  <c r="H57" i="23"/>
  <c r="D58" i="23"/>
  <c r="E58" i="23" s="1"/>
  <c r="H58" i="23"/>
  <c r="I58" i="23"/>
  <c r="D59" i="23"/>
  <c r="G59" i="23" s="1"/>
  <c r="H59" i="23"/>
  <c r="D60" i="23"/>
  <c r="E60" i="23" s="1"/>
  <c r="D61" i="23"/>
  <c r="G61" i="23" s="1"/>
  <c r="D62" i="23"/>
  <c r="E62" i="23" s="1"/>
  <c r="H62" i="23"/>
  <c r="D63" i="23"/>
  <c r="G63" i="23" s="1"/>
  <c r="D64" i="23"/>
  <c r="E64" i="23" s="1"/>
  <c r="G66" i="23"/>
  <c r="E71" i="23"/>
  <c r="E77" i="23"/>
  <c r="H77" i="23"/>
  <c r="J77" i="23"/>
  <c r="E78" i="23"/>
  <c r="G78" i="23"/>
  <c r="H78" i="23"/>
  <c r="J78" i="23"/>
  <c r="E79" i="23"/>
  <c r="G79" i="23"/>
  <c r="H79" i="23"/>
  <c r="J79" i="23"/>
  <c r="E80" i="23"/>
  <c r="G80" i="23"/>
  <c r="H80" i="23"/>
  <c r="J80" i="23"/>
  <c r="E81" i="23"/>
  <c r="H81" i="23"/>
  <c r="E90" i="23"/>
  <c r="F90" i="23"/>
  <c r="G90" i="23"/>
  <c r="E91" i="23"/>
  <c r="F91" i="23"/>
  <c r="G91" i="23"/>
  <c r="E92" i="23"/>
  <c r="H92" i="23" s="1"/>
  <c r="F92" i="23"/>
  <c r="G92" i="23"/>
  <c r="D99" i="23"/>
  <c r="E99" i="23"/>
  <c r="F99" i="23"/>
  <c r="G99" i="23" s="1"/>
  <c r="D100" i="23"/>
  <c r="E100" i="23"/>
  <c r="F100" i="23"/>
  <c r="H100" i="23" s="1"/>
  <c r="D103" i="23"/>
  <c r="E103" i="23"/>
  <c r="D107" i="23"/>
  <c r="E107" i="23" s="1"/>
  <c r="E113" i="23"/>
  <c r="F113" i="23"/>
  <c r="G113" i="23"/>
  <c r="E114" i="23"/>
  <c r="I114" i="23" s="1"/>
  <c r="F114" i="23"/>
  <c r="G114" i="23"/>
  <c r="E115" i="23"/>
  <c r="F115" i="23"/>
  <c r="G115" i="23"/>
  <c r="E116" i="23"/>
  <c r="F116" i="23"/>
  <c r="H116" i="23" s="1"/>
  <c r="G116" i="23"/>
  <c r="E117" i="23"/>
  <c r="F117" i="23"/>
  <c r="H117" i="23" s="1"/>
  <c r="G117" i="23"/>
  <c r="I117" i="23" s="1"/>
  <c r="E118" i="23"/>
  <c r="F118" i="23"/>
  <c r="H118" i="23" s="1"/>
  <c r="G118" i="23"/>
  <c r="E119" i="23"/>
  <c r="F119" i="23"/>
  <c r="G119" i="23"/>
  <c r="E120" i="23"/>
  <c r="F120" i="23"/>
  <c r="G120" i="23"/>
  <c r="B1" i="23"/>
  <c r="B2" i="23"/>
  <c r="C2" i="23"/>
  <c r="B3" i="23"/>
  <c r="C3" i="23"/>
  <c r="B4" i="23"/>
  <c r="C4" i="23"/>
  <c r="H5" i="23"/>
  <c r="H6" i="23"/>
  <c r="E8" i="23"/>
  <c r="H40" i="23" s="1"/>
  <c r="F8" i="23"/>
  <c r="I50" i="23" s="1"/>
  <c r="B9" i="23"/>
  <c r="F57" i="23" s="1"/>
  <c r="B10" i="23"/>
  <c r="F42" i="23" s="1"/>
  <c r="G19" i="23"/>
  <c r="M20" i="23"/>
  <c r="N20" i="23"/>
  <c r="O20" i="23"/>
  <c r="P20" i="23"/>
  <c r="M21" i="23"/>
  <c r="N21" i="23"/>
  <c r="O21" i="23"/>
  <c r="P21" i="23"/>
  <c r="M22" i="23"/>
  <c r="N22" i="23"/>
  <c r="O22" i="23"/>
  <c r="P22" i="23"/>
  <c r="M23" i="23"/>
  <c r="N23" i="23"/>
  <c r="O23" i="23"/>
  <c r="P23" i="23"/>
  <c r="M24" i="23"/>
  <c r="N24" i="23"/>
  <c r="O24" i="23"/>
  <c r="P24" i="23"/>
  <c r="M25" i="23"/>
  <c r="N25" i="23"/>
  <c r="O25" i="23"/>
  <c r="P25" i="23"/>
  <c r="M26" i="23"/>
  <c r="N26" i="23"/>
  <c r="O26" i="23"/>
  <c r="P26" i="23"/>
  <c r="M27" i="23"/>
  <c r="N27" i="23"/>
  <c r="O27" i="23"/>
  <c r="P27" i="23"/>
  <c r="M28" i="23"/>
  <c r="N28" i="23"/>
  <c r="O28" i="23"/>
  <c r="P28" i="23"/>
  <c r="M29" i="23"/>
  <c r="N29" i="23"/>
  <c r="O29" i="23"/>
  <c r="P29" i="23"/>
  <c r="M30" i="23"/>
  <c r="N30" i="23"/>
  <c r="O30" i="23"/>
  <c r="P30" i="23"/>
  <c r="M31" i="23"/>
  <c r="N31" i="23"/>
  <c r="O31" i="23"/>
  <c r="P31" i="23"/>
  <c r="M32" i="23"/>
  <c r="N32" i="23"/>
  <c r="O32" i="23"/>
  <c r="P32" i="23"/>
  <c r="M33" i="23"/>
  <c r="N33" i="23"/>
  <c r="O33" i="23"/>
  <c r="P33" i="23"/>
  <c r="M34" i="23"/>
  <c r="N34" i="23"/>
  <c r="O34" i="23"/>
  <c r="P34" i="23"/>
  <c r="M35" i="23"/>
  <c r="N35" i="23"/>
  <c r="O35" i="23"/>
  <c r="P35" i="23"/>
  <c r="F36" i="23"/>
  <c r="J36" i="23"/>
  <c r="M37" i="23"/>
  <c r="O37" i="23"/>
  <c r="H100" i="39"/>
  <c r="E13" i="39"/>
  <c r="E12" i="39"/>
  <c r="E11" i="39"/>
  <c r="H64" i="39"/>
  <c r="F11" i="39"/>
  <c r="F10" i="39"/>
  <c r="E10" i="39"/>
  <c r="I70" i="39"/>
  <c r="I71" i="39"/>
  <c r="I72" i="39"/>
  <c r="I73" i="39"/>
  <c r="I69" i="39"/>
  <c r="M20" i="39"/>
  <c r="M21" i="39"/>
  <c r="D60" i="39"/>
  <c r="E60" i="39" s="1"/>
  <c r="D61" i="39"/>
  <c r="E61" i="39" s="1"/>
  <c r="D62" i="39"/>
  <c r="E62" i="39" s="1"/>
  <c r="D63" i="39"/>
  <c r="D58" i="39"/>
  <c r="D59" i="39"/>
  <c r="G59" i="39" s="1"/>
  <c r="D34" i="39"/>
  <c r="P21" i="39"/>
  <c r="P20" i="39"/>
  <c r="Q21" i="39"/>
  <c r="O21" i="39"/>
  <c r="N21" i="39"/>
  <c r="O20" i="39"/>
  <c r="N20" i="39"/>
  <c r="G68" i="23" l="1"/>
  <c r="I115" i="23"/>
  <c r="F59" i="23"/>
  <c r="H67" i="23"/>
  <c r="G67" i="23"/>
  <c r="K37" i="23"/>
  <c r="G81" i="23" s="1"/>
  <c r="G82" i="23" s="1"/>
  <c r="G84" i="23" s="1"/>
  <c r="I116" i="23"/>
  <c r="H114" i="23"/>
  <c r="G100" i="23"/>
  <c r="I100" i="23" s="1"/>
  <c r="I99" i="23"/>
  <c r="H63" i="23"/>
  <c r="I57" i="23"/>
  <c r="I67" i="23"/>
  <c r="O18" i="23"/>
  <c r="H110" i="23"/>
  <c r="I92" i="23"/>
  <c r="G62" i="23"/>
  <c r="I59" i="23"/>
  <c r="E59" i="23"/>
  <c r="G58" i="23"/>
  <c r="E57" i="23"/>
  <c r="H50" i="23"/>
  <c r="E42" i="23"/>
  <c r="F68" i="23"/>
  <c r="G65" i="23"/>
  <c r="H65" i="23"/>
  <c r="N18" i="23"/>
  <c r="I113" i="23"/>
  <c r="H87" i="23"/>
  <c r="H53" i="23"/>
  <c r="J47" i="23"/>
  <c r="F67" i="23"/>
  <c r="G64" i="23"/>
  <c r="H64" i="23"/>
  <c r="I64" i="23"/>
  <c r="N37" i="23"/>
  <c r="K18" i="23"/>
  <c r="H120" i="23"/>
  <c r="H113" i="23"/>
  <c r="E84" i="23"/>
  <c r="H84" i="23"/>
  <c r="I54" i="23"/>
  <c r="I46" i="23"/>
  <c r="F65" i="23"/>
  <c r="I63" i="23"/>
  <c r="I61" i="23"/>
  <c r="H124" i="23"/>
  <c r="H119" i="23"/>
  <c r="I96" i="23"/>
  <c r="H74" i="23"/>
  <c r="F63" i="23"/>
  <c r="H61" i="23"/>
  <c r="H60" i="23"/>
  <c r="F46" i="23"/>
  <c r="H47" i="23"/>
  <c r="F43" i="23"/>
  <c r="H71" i="23"/>
  <c r="I66" i="23"/>
  <c r="P37" i="23"/>
  <c r="F9" i="23" s="1"/>
  <c r="M18" i="23"/>
  <c r="I119" i="23"/>
  <c r="F107" i="23"/>
  <c r="H96" i="23"/>
  <c r="H91" i="23"/>
  <c r="H93" i="23" s="1"/>
  <c r="H90" i="23"/>
  <c r="E74" i="23"/>
  <c r="F70" i="23"/>
  <c r="E65" i="23"/>
  <c r="F64" i="23"/>
  <c r="E63" i="23"/>
  <c r="F62" i="23"/>
  <c r="F61" i="23"/>
  <c r="G60" i="23"/>
  <c r="F58" i="23"/>
  <c r="H54" i="23"/>
  <c r="E46" i="23"/>
  <c r="F45" i="23"/>
  <c r="G44" i="23"/>
  <c r="J40" i="23"/>
  <c r="L37" i="23"/>
  <c r="I124" i="23"/>
  <c r="E9" i="23"/>
  <c r="P18" i="23"/>
  <c r="L18" i="23"/>
  <c r="I120" i="23"/>
  <c r="H115" i="23"/>
  <c r="I110" i="23"/>
  <c r="I91" i="23"/>
  <c r="I93" i="23" s="1"/>
  <c r="F12" i="23" s="1"/>
  <c r="I90" i="23"/>
  <c r="I87" i="23"/>
  <c r="F71" i="23"/>
  <c r="E61" i="23"/>
  <c r="F60" i="23"/>
  <c r="G53" i="23"/>
  <c r="I53" i="23" s="1"/>
  <c r="F44" i="23"/>
  <c r="H66" i="23"/>
  <c r="I71" i="23"/>
  <c r="I62" i="23"/>
  <c r="H121" i="23"/>
  <c r="I118" i="23"/>
  <c r="G107" i="23"/>
  <c r="G71" i="23"/>
  <c r="G45" i="23"/>
  <c r="H99" i="23"/>
  <c r="I60" i="23"/>
  <c r="I44" i="23"/>
  <c r="I45" i="23"/>
  <c r="H61" i="39"/>
  <c r="I61" i="39"/>
  <c r="I59" i="39"/>
  <c r="H59" i="39"/>
  <c r="E59" i="39"/>
  <c r="G61" i="39"/>
  <c r="E63" i="39"/>
  <c r="E58" i="39"/>
  <c r="D367" i="18"/>
  <c r="C367" i="18"/>
  <c r="B367" i="18"/>
  <c r="A367" i="18"/>
  <c r="D366" i="18"/>
  <c r="C366" i="18"/>
  <c r="B366" i="18"/>
  <c r="A366" i="18"/>
  <c r="D365" i="18"/>
  <c r="C365" i="18"/>
  <c r="B365" i="18"/>
  <c r="A365" i="18"/>
  <c r="D364" i="18"/>
  <c r="C364" i="18"/>
  <c r="B364" i="18"/>
  <c r="A364" i="18"/>
  <c r="D363" i="18"/>
  <c r="C363" i="18"/>
  <c r="B363" i="18"/>
  <c r="A363" i="18"/>
  <c r="D362" i="18"/>
  <c r="C362" i="18"/>
  <c r="B362" i="18"/>
  <c r="A362" i="18"/>
  <c r="D361" i="18"/>
  <c r="C361" i="18"/>
  <c r="B361" i="18"/>
  <c r="A361" i="18"/>
  <c r="D360" i="18"/>
  <c r="C360" i="18"/>
  <c r="B360" i="18"/>
  <c r="A360" i="18"/>
  <c r="D359" i="18"/>
  <c r="C359" i="18"/>
  <c r="B359" i="18"/>
  <c r="A359" i="18"/>
  <c r="D358" i="18"/>
  <c r="C358" i="18"/>
  <c r="B358" i="18"/>
  <c r="A358" i="18"/>
  <c r="D357" i="18"/>
  <c r="C357" i="18"/>
  <c r="B357" i="18"/>
  <c r="A357" i="18"/>
  <c r="D356" i="18"/>
  <c r="C356" i="18"/>
  <c r="B356" i="18"/>
  <c r="A356" i="18"/>
  <c r="D355" i="18"/>
  <c r="C355" i="18"/>
  <c r="B355" i="18"/>
  <c r="A355" i="18"/>
  <c r="D354" i="18"/>
  <c r="C354" i="18"/>
  <c r="B354" i="18"/>
  <c r="A354" i="18"/>
  <c r="D353" i="18"/>
  <c r="C353" i="18"/>
  <c r="B353" i="18"/>
  <c r="A353" i="18"/>
  <c r="D352" i="18"/>
  <c r="C352" i="18"/>
  <c r="B352" i="18"/>
  <c r="A352" i="18"/>
  <c r="D351" i="18"/>
  <c r="C351" i="18"/>
  <c r="B351" i="18"/>
  <c r="A351" i="18"/>
  <c r="D350" i="18"/>
  <c r="C350" i="18"/>
  <c r="B350" i="18"/>
  <c r="A350" i="18"/>
  <c r="D349" i="18"/>
  <c r="C349" i="18"/>
  <c r="B349" i="18"/>
  <c r="A349" i="18"/>
  <c r="D348" i="18"/>
  <c r="C348" i="18"/>
  <c r="B348" i="18"/>
  <c r="A348" i="18"/>
  <c r="D347" i="18"/>
  <c r="C347" i="18"/>
  <c r="B347" i="18"/>
  <c r="A347" i="18"/>
  <c r="D346" i="18"/>
  <c r="C346" i="18"/>
  <c r="B346" i="18"/>
  <c r="A346" i="18"/>
  <c r="D345" i="18"/>
  <c r="C345" i="18"/>
  <c r="B345" i="18"/>
  <c r="A345" i="18"/>
  <c r="D344" i="18"/>
  <c r="C344" i="18"/>
  <c r="B344" i="18"/>
  <c r="A344" i="18"/>
  <c r="D343" i="18"/>
  <c r="C343" i="18"/>
  <c r="B343" i="18"/>
  <c r="A343" i="18"/>
  <c r="D342" i="18"/>
  <c r="C342" i="18"/>
  <c r="B342" i="18"/>
  <c r="A342" i="18"/>
  <c r="D341" i="18"/>
  <c r="C341" i="18"/>
  <c r="B341" i="18"/>
  <c r="A341" i="18"/>
  <c r="D340" i="18"/>
  <c r="C340" i="18"/>
  <c r="B340" i="18"/>
  <c r="A340" i="18"/>
  <c r="D339" i="18"/>
  <c r="C339" i="18"/>
  <c r="B339" i="18"/>
  <c r="A339" i="18"/>
  <c r="D338" i="18"/>
  <c r="C338" i="18"/>
  <c r="B338" i="18"/>
  <c r="A338" i="18"/>
  <c r="D337" i="18"/>
  <c r="C337" i="18"/>
  <c r="B337" i="18"/>
  <c r="A337" i="18"/>
  <c r="D336" i="18"/>
  <c r="C336" i="18"/>
  <c r="B336" i="18"/>
  <c r="A336" i="18"/>
  <c r="D335" i="18"/>
  <c r="C335" i="18"/>
  <c r="B335" i="18"/>
  <c r="A335" i="18"/>
  <c r="D334" i="18"/>
  <c r="C334" i="18"/>
  <c r="B334" i="18"/>
  <c r="A334" i="18"/>
  <c r="D333" i="18"/>
  <c r="C333" i="18"/>
  <c r="B333" i="18"/>
  <c r="A333" i="18"/>
  <c r="D332" i="18"/>
  <c r="C332" i="18"/>
  <c r="B332" i="18"/>
  <c r="A332" i="18"/>
  <c r="D331" i="18"/>
  <c r="C331" i="18"/>
  <c r="B331" i="18"/>
  <c r="A331" i="18"/>
  <c r="D330" i="18"/>
  <c r="C330" i="18"/>
  <c r="B330" i="18"/>
  <c r="A330" i="18"/>
  <c r="D329" i="18"/>
  <c r="C329" i="18"/>
  <c r="B329" i="18"/>
  <c r="A329" i="18"/>
  <c r="D328" i="18"/>
  <c r="C328" i="18"/>
  <c r="B328" i="18"/>
  <c r="A328" i="18"/>
  <c r="D327" i="18"/>
  <c r="C327" i="18"/>
  <c r="B327" i="18"/>
  <c r="A327" i="18"/>
  <c r="D326" i="18"/>
  <c r="C326" i="18"/>
  <c r="B326" i="18"/>
  <c r="A326" i="18"/>
  <c r="D325" i="18"/>
  <c r="C325" i="18"/>
  <c r="B325" i="18"/>
  <c r="A325" i="18"/>
  <c r="D324" i="18"/>
  <c r="C324" i="18"/>
  <c r="B324" i="18"/>
  <c r="A324" i="18"/>
  <c r="D323" i="18"/>
  <c r="C323" i="18"/>
  <c r="B323" i="18"/>
  <c r="A323" i="18"/>
  <c r="D322" i="18"/>
  <c r="C322" i="18"/>
  <c r="B322" i="18"/>
  <c r="A322" i="18"/>
  <c r="D321" i="18"/>
  <c r="C321" i="18"/>
  <c r="B321" i="18"/>
  <c r="A321" i="18"/>
  <c r="D320" i="18"/>
  <c r="C320" i="18"/>
  <c r="B320" i="18"/>
  <c r="A320" i="18"/>
  <c r="D319" i="18"/>
  <c r="C319" i="18"/>
  <c r="B319" i="18"/>
  <c r="A319" i="18"/>
  <c r="D318" i="18"/>
  <c r="C318" i="18"/>
  <c r="B318" i="18"/>
  <c r="A318" i="18"/>
  <c r="D317" i="18"/>
  <c r="C317" i="18"/>
  <c r="B317" i="18"/>
  <c r="A317" i="18"/>
  <c r="D316" i="18"/>
  <c r="C316" i="18"/>
  <c r="B316" i="18"/>
  <c r="A316" i="18"/>
  <c r="D315" i="18"/>
  <c r="C315" i="18"/>
  <c r="B315" i="18"/>
  <c r="A315" i="18"/>
  <c r="D314" i="18"/>
  <c r="C314" i="18"/>
  <c r="B314" i="18"/>
  <c r="A314" i="18"/>
  <c r="D313" i="18"/>
  <c r="C313" i="18"/>
  <c r="B313" i="18"/>
  <c r="A313" i="18"/>
  <c r="D312" i="18"/>
  <c r="C312" i="18"/>
  <c r="B312" i="18"/>
  <c r="A312" i="18"/>
  <c r="D311" i="18"/>
  <c r="C311" i="18"/>
  <c r="B311" i="18"/>
  <c r="A311" i="18"/>
  <c r="D310" i="18"/>
  <c r="C310" i="18"/>
  <c r="B310" i="18"/>
  <c r="A310" i="18"/>
  <c r="D309" i="18"/>
  <c r="C309" i="18"/>
  <c r="B309" i="18"/>
  <c r="A309" i="18"/>
  <c r="D308" i="18"/>
  <c r="C308" i="18"/>
  <c r="B308" i="18"/>
  <c r="A308" i="18"/>
  <c r="D307" i="18"/>
  <c r="C307" i="18"/>
  <c r="B307" i="18"/>
  <c r="A307" i="18"/>
  <c r="D306" i="18"/>
  <c r="C306" i="18"/>
  <c r="B306" i="18"/>
  <c r="A306" i="18"/>
  <c r="D305" i="18"/>
  <c r="C305" i="18"/>
  <c r="B305" i="18"/>
  <c r="A305" i="18"/>
  <c r="D304" i="18"/>
  <c r="C304" i="18"/>
  <c r="B304" i="18"/>
  <c r="A304" i="18"/>
  <c r="D303" i="18"/>
  <c r="C303" i="18"/>
  <c r="B303" i="18"/>
  <c r="A303" i="18"/>
  <c r="D302" i="18"/>
  <c r="C302" i="18"/>
  <c r="B302" i="18"/>
  <c r="A302" i="18"/>
  <c r="D301" i="18"/>
  <c r="C301" i="18"/>
  <c r="B301" i="18"/>
  <c r="A301" i="18"/>
  <c r="D300" i="18"/>
  <c r="C300" i="18"/>
  <c r="B300" i="18"/>
  <c r="A300" i="18"/>
  <c r="D299" i="18"/>
  <c r="C299" i="18"/>
  <c r="B299" i="18"/>
  <c r="A299" i="18"/>
  <c r="D298" i="18"/>
  <c r="C298" i="18"/>
  <c r="B298" i="18"/>
  <c r="A298" i="18"/>
  <c r="D297" i="18"/>
  <c r="C297" i="18"/>
  <c r="B297" i="18"/>
  <c r="A297" i="18"/>
  <c r="D296" i="18"/>
  <c r="C296" i="18"/>
  <c r="B296" i="18"/>
  <c r="A296" i="18"/>
  <c r="D295" i="18"/>
  <c r="C295" i="18"/>
  <c r="B295" i="18"/>
  <c r="A295" i="18"/>
  <c r="D294" i="18"/>
  <c r="C294" i="18"/>
  <c r="B294" i="18"/>
  <c r="A294" i="18"/>
  <c r="D293" i="18"/>
  <c r="C293" i="18"/>
  <c r="B293" i="18"/>
  <c r="A293" i="18"/>
  <c r="D292" i="18"/>
  <c r="C292" i="18"/>
  <c r="B292" i="18"/>
  <c r="A292" i="18"/>
  <c r="D291" i="18"/>
  <c r="C291" i="18"/>
  <c r="B291" i="18"/>
  <c r="A291" i="18"/>
  <c r="D290" i="18"/>
  <c r="C290" i="18"/>
  <c r="B290" i="18"/>
  <c r="A290" i="18"/>
  <c r="D289" i="18"/>
  <c r="C289" i="18"/>
  <c r="B289" i="18"/>
  <c r="A289" i="18"/>
  <c r="D288" i="18"/>
  <c r="C288" i="18"/>
  <c r="B288" i="18"/>
  <c r="A288" i="18"/>
  <c r="D287" i="18"/>
  <c r="C287" i="18"/>
  <c r="B287" i="18"/>
  <c r="A287" i="18"/>
  <c r="D286" i="18"/>
  <c r="C286" i="18"/>
  <c r="B286" i="18"/>
  <c r="A286" i="18"/>
  <c r="D285" i="18"/>
  <c r="C285" i="18"/>
  <c r="B285" i="18"/>
  <c r="A285" i="18"/>
  <c r="D284" i="18"/>
  <c r="C284" i="18"/>
  <c r="B284" i="18"/>
  <c r="A284" i="18"/>
  <c r="D283" i="18"/>
  <c r="C283" i="18"/>
  <c r="B283" i="18"/>
  <c r="A283" i="18"/>
  <c r="D282" i="18"/>
  <c r="C282" i="18"/>
  <c r="B282" i="18"/>
  <c r="A282" i="18"/>
  <c r="D281" i="18"/>
  <c r="C281" i="18"/>
  <c r="B281" i="18"/>
  <c r="A281" i="18"/>
  <c r="D280" i="18"/>
  <c r="C280" i="18"/>
  <c r="B280" i="18"/>
  <c r="A280" i="18"/>
  <c r="D279" i="18"/>
  <c r="C279" i="18"/>
  <c r="B279" i="18"/>
  <c r="A279" i="18"/>
  <c r="D278" i="18"/>
  <c r="C278" i="18"/>
  <c r="B278" i="18"/>
  <c r="A278" i="18"/>
  <c r="D277" i="18"/>
  <c r="C277" i="18"/>
  <c r="B277" i="18"/>
  <c r="A277" i="18"/>
  <c r="D276" i="18"/>
  <c r="C276" i="18"/>
  <c r="B276" i="18"/>
  <c r="A276" i="18"/>
  <c r="D275" i="18"/>
  <c r="C275" i="18"/>
  <c r="B275" i="18"/>
  <c r="A275" i="18"/>
  <c r="D274" i="18"/>
  <c r="C274" i="18"/>
  <c r="B274" i="18"/>
  <c r="A274" i="18"/>
  <c r="D273" i="18"/>
  <c r="C273" i="18"/>
  <c r="B273" i="18"/>
  <c r="A273" i="18"/>
  <c r="D272" i="18"/>
  <c r="C272" i="18"/>
  <c r="B272" i="18"/>
  <c r="A272" i="18"/>
  <c r="D271" i="18"/>
  <c r="C271" i="18"/>
  <c r="B271" i="18"/>
  <c r="A271" i="18"/>
  <c r="D270" i="18"/>
  <c r="C270" i="18"/>
  <c r="B270" i="18"/>
  <c r="A270" i="18"/>
  <c r="D269" i="18"/>
  <c r="C269" i="18"/>
  <c r="B269" i="18"/>
  <c r="A269" i="18"/>
  <c r="D268" i="18"/>
  <c r="C268" i="18"/>
  <c r="B268" i="18"/>
  <c r="A268" i="18"/>
  <c r="D267" i="18"/>
  <c r="C267" i="18"/>
  <c r="B267" i="18"/>
  <c r="A267" i="18"/>
  <c r="D266" i="18"/>
  <c r="C266" i="18"/>
  <c r="B266" i="18"/>
  <c r="A266" i="18"/>
  <c r="D265" i="18"/>
  <c r="C265" i="18"/>
  <c r="B265" i="18"/>
  <c r="A265" i="18"/>
  <c r="D264" i="18"/>
  <c r="C264" i="18"/>
  <c r="B264" i="18"/>
  <c r="A264" i="18"/>
  <c r="D263" i="18"/>
  <c r="C263" i="18"/>
  <c r="B263" i="18"/>
  <c r="A263" i="18"/>
  <c r="D262" i="18"/>
  <c r="C262" i="18"/>
  <c r="B262" i="18"/>
  <c r="A262" i="18"/>
  <c r="D261" i="18"/>
  <c r="C261" i="18"/>
  <c r="B261" i="18"/>
  <c r="A261" i="18"/>
  <c r="D260" i="18"/>
  <c r="C260" i="18"/>
  <c r="B260" i="18"/>
  <c r="A260" i="18"/>
  <c r="D259" i="18"/>
  <c r="C259" i="18"/>
  <c r="B259" i="18"/>
  <c r="A259" i="18"/>
  <c r="D258" i="18"/>
  <c r="C258" i="18"/>
  <c r="B258" i="18"/>
  <c r="A258" i="18"/>
  <c r="D257" i="18"/>
  <c r="C257" i="18"/>
  <c r="B257" i="18"/>
  <c r="A257" i="18"/>
  <c r="D256" i="18"/>
  <c r="C256" i="18"/>
  <c r="B256" i="18"/>
  <c r="A256" i="18"/>
  <c r="D255" i="18"/>
  <c r="C255" i="18"/>
  <c r="B255" i="18"/>
  <c r="A255" i="18"/>
  <c r="D254" i="18"/>
  <c r="C254" i="18"/>
  <c r="B254" i="18"/>
  <c r="A254" i="18"/>
  <c r="D253" i="18"/>
  <c r="C253" i="18"/>
  <c r="B253" i="18"/>
  <c r="A253" i="18"/>
  <c r="D252" i="18"/>
  <c r="C252" i="18"/>
  <c r="B252" i="18"/>
  <c r="A252" i="18"/>
  <c r="D251" i="18"/>
  <c r="C251" i="18"/>
  <c r="B251" i="18"/>
  <c r="A251" i="18"/>
  <c r="D250" i="18"/>
  <c r="C250" i="18"/>
  <c r="B250" i="18"/>
  <c r="A250" i="18"/>
  <c r="D249" i="18"/>
  <c r="C249" i="18"/>
  <c r="B249" i="18"/>
  <c r="A249" i="18"/>
  <c r="D248" i="18"/>
  <c r="C248" i="18"/>
  <c r="B248" i="18"/>
  <c r="A248" i="18"/>
  <c r="D247" i="18"/>
  <c r="C247" i="18"/>
  <c r="B247" i="18"/>
  <c r="A247" i="18"/>
  <c r="D246" i="18"/>
  <c r="C246" i="18"/>
  <c r="B246" i="18"/>
  <c r="A246" i="18"/>
  <c r="D245" i="18"/>
  <c r="C245" i="18"/>
  <c r="B245" i="18"/>
  <c r="A245" i="18"/>
  <c r="D244" i="18"/>
  <c r="C244" i="18"/>
  <c r="B244" i="18"/>
  <c r="A244" i="18"/>
  <c r="D243" i="18"/>
  <c r="C243" i="18"/>
  <c r="B243" i="18"/>
  <c r="A243" i="18"/>
  <c r="D242" i="18"/>
  <c r="C242" i="18"/>
  <c r="B242" i="18"/>
  <c r="A242" i="18"/>
  <c r="D241" i="18"/>
  <c r="C241" i="18"/>
  <c r="B241" i="18"/>
  <c r="A241" i="18"/>
  <c r="D240" i="18"/>
  <c r="C240" i="18"/>
  <c r="B240" i="18"/>
  <c r="A240" i="18"/>
  <c r="D239" i="18"/>
  <c r="C239" i="18"/>
  <c r="B239" i="18"/>
  <c r="A239" i="18"/>
  <c r="D238" i="18"/>
  <c r="C238" i="18"/>
  <c r="B238" i="18"/>
  <c r="A238" i="18"/>
  <c r="D237" i="18"/>
  <c r="C237" i="18"/>
  <c r="B237" i="18"/>
  <c r="A237" i="18"/>
  <c r="D236" i="18"/>
  <c r="C236" i="18"/>
  <c r="B236" i="18"/>
  <c r="A236" i="18"/>
  <c r="D235" i="18"/>
  <c r="C235" i="18"/>
  <c r="B235" i="18"/>
  <c r="A235" i="18"/>
  <c r="D234" i="18"/>
  <c r="C234" i="18"/>
  <c r="B234" i="18"/>
  <c r="A234" i="18"/>
  <c r="D233" i="18"/>
  <c r="C233" i="18"/>
  <c r="B233" i="18"/>
  <c r="A233" i="18"/>
  <c r="D232" i="18"/>
  <c r="C232" i="18"/>
  <c r="B232" i="18"/>
  <c r="A232" i="18"/>
  <c r="D231" i="18"/>
  <c r="C231" i="18"/>
  <c r="B231" i="18"/>
  <c r="A231" i="18"/>
  <c r="D230" i="18"/>
  <c r="C230" i="18"/>
  <c r="B230" i="18"/>
  <c r="A230" i="18"/>
  <c r="D229" i="18"/>
  <c r="C229" i="18"/>
  <c r="B229" i="18"/>
  <c r="A229" i="18"/>
  <c r="D228" i="18"/>
  <c r="C228" i="18"/>
  <c r="B228" i="18"/>
  <c r="A228" i="18"/>
  <c r="D227" i="18"/>
  <c r="C227" i="18"/>
  <c r="B227" i="18"/>
  <c r="A227" i="18"/>
  <c r="D226" i="18"/>
  <c r="C226" i="18"/>
  <c r="B226" i="18"/>
  <c r="A226" i="18"/>
  <c r="D225" i="18"/>
  <c r="C225" i="18"/>
  <c r="B225" i="18"/>
  <c r="A225" i="18"/>
  <c r="D224" i="18"/>
  <c r="C224" i="18"/>
  <c r="B224" i="18"/>
  <c r="A224" i="18"/>
  <c r="D223" i="18"/>
  <c r="C223" i="18"/>
  <c r="B223" i="18"/>
  <c r="A223" i="18"/>
  <c r="D222" i="18"/>
  <c r="C222" i="18"/>
  <c r="B222" i="18"/>
  <c r="A222" i="18"/>
  <c r="D221" i="18"/>
  <c r="C221" i="18"/>
  <c r="B221" i="18"/>
  <c r="A221" i="18"/>
  <c r="D220" i="18"/>
  <c r="C220" i="18"/>
  <c r="B220" i="18"/>
  <c r="A220" i="18"/>
  <c r="D219" i="18"/>
  <c r="C219" i="18"/>
  <c r="B219" i="18"/>
  <c r="A219" i="18"/>
  <c r="D218" i="18"/>
  <c r="C218" i="18"/>
  <c r="B218" i="18"/>
  <c r="A218" i="18"/>
  <c r="D217" i="18"/>
  <c r="C217" i="18"/>
  <c r="B217" i="18"/>
  <c r="A217" i="18"/>
  <c r="D216" i="18"/>
  <c r="C216" i="18"/>
  <c r="B216" i="18"/>
  <c r="A216" i="18"/>
  <c r="D215" i="18"/>
  <c r="C215" i="18"/>
  <c r="B215" i="18"/>
  <c r="A215" i="18"/>
  <c r="D214" i="18"/>
  <c r="C214" i="18"/>
  <c r="B214" i="18"/>
  <c r="A214" i="18"/>
  <c r="D213" i="18"/>
  <c r="C213" i="18"/>
  <c r="B213" i="18"/>
  <c r="A213" i="18"/>
  <c r="D212" i="18"/>
  <c r="C212" i="18"/>
  <c r="B212" i="18"/>
  <c r="A212" i="18"/>
  <c r="D211" i="18"/>
  <c r="C211" i="18"/>
  <c r="B211" i="18"/>
  <c r="A211" i="18"/>
  <c r="D210" i="18"/>
  <c r="C210" i="18"/>
  <c r="B210" i="18"/>
  <c r="A210" i="18"/>
  <c r="D209" i="18"/>
  <c r="C209" i="18"/>
  <c r="B209" i="18"/>
  <c r="A209" i="18"/>
  <c r="D208" i="18"/>
  <c r="C208" i="18"/>
  <c r="B208" i="18"/>
  <c r="A208" i="18"/>
  <c r="D207" i="18"/>
  <c r="C207" i="18"/>
  <c r="B207" i="18"/>
  <c r="A207" i="18"/>
  <c r="D206" i="18"/>
  <c r="C206" i="18"/>
  <c r="B206" i="18"/>
  <c r="A206" i="18"/>
  <c r="D205" i="18"/>
  <c r="C205" i="18"/>
  <c r="B205" i="18"/>
  <c r="A205" i="18"/>
  <c r="D204" i="18"/>
  <c r="C204" i="18"/>
  <c r="B204" i="18"/>
  <c r="A204" i="18"/>
  <c r="D203" i="18"/>
  <c r="C203" i="18"/>
  <c r="B203" i="18"/>
  <c r="A203" i="18"/>
  <c r="D202" i="18"/>
  <c r="C202" i="18"/>
  <c r="B202" i="18"/>
  <c r="A202" i="18"/>
  <c r="D201" i="18"/>
  <c r="C201" i="18"/>
  <c r="B201" i="18"/>
  <c r="A201" i="18"/>
  <c r="D200" i="18"/>
  <c r="C200" i="18"/>
  <c r="B200" i="18"/>
  <c r="A200" i="18"/>
  <c r="D199" i="18"/>
  <c r="C199" i="18"/>
  <c r="B199" i="18"/>
  <c r="A199" i="18"/>
  <c r="D198" i="18"/>
  <c r="C198" i="18"/>
  <c r="B198" i="18"/>
  <c r="A198" i="18"/>
  <c r="D197" i="18"/>
  <c r="C197" i="18"/>
  <c r="B197" i="18"/>
  <c r="A197" i="18"/>
  <c r="D196" i="18"/>
  <c r="C196" i="18"/>
  <c r="B196" i="18"/>
  <c r="A196" i="18"/>
  <c r="D195" i="18"/>
  <c r="C195" i="18"/>
  <c r="B195" i="18"/>
  <c r="A195" i="18"/>
  <c r="D194" i="18"/>
  <c r="C194" i="18"/>
  <c r="B194" i="18"/>
  <c r="A194" i="18"/>
  <c r="D193" i="18"/>
  <c r="C193" i="18"/>
  <c r="B193" i="18"/>
  <c r="A193" i="18"/>
  <c r="D192" i="18"/>
  <c r="C192" i="18"/>
  <c r="B192" i="18"/>
  <c r="A192" i="18"/>
  <c r="D191" i="18"/>
  <c r="C191" i="18"/>
  <c r="B191" i="18"/>
  <c r="A191" i="18"/>
  <c r="D190" i="18"/>
  <c r="C190" i="18"/>
  <c r="B190" i="18"/>
  <c r="A190" i="18"/>
  <c r="D189" i="18"/>
  <c r="C189" i="18"/>
  <c r="B189" i="18"/>
  <c r="A189" i="18"/>
  <c r="D188" i="18"/>
  <c r="C188" i="18"/>
  <c r="B188" i="18"/>
  <c r="A188" i="18"/>
  <c r="D187" i="18"/>
  <c r="C187" i="18"/>
  <c r="B187" i="18"/>
  <c r="A187" i="18"/>
  <c r="D186" i="18"/>
  <c r="C186" i="18"/>
  <c r="B186" i="18"/>
  <c r="A186" i="18"/>
  <c r="D185" i="18"/>
  <c r="C185" i="18"/>
  <c r="B185" i="18"/>
  <c r="A185" i="18"/>
  <c r="D184" i="18"/>
  <c r="C184" i="18"/>
  <c r="B184" i="18"/>
  <c r="A184" i="18"/>
  <c r="D183" i="18"/>
  <c r="C183" i="18"/>
  <c r="B183" i="18"/>
  <c r="A183" i="18"/>
  <c r="D182" i="18"/>
  <c r="C182" i="18"/>
  <c r="B182" i="18"/>
  <c r="A182" i="18"/>
  <c r="D181" i="18"/>
  <c r="C181" i="18"/>
  <c r="B181" i="18"/>
  <c r="A181" i="18"/>
  <c r="D180" i="18"/>
  <c r="C180" i="18"/>
  <c r="B180" i="18"/>
  <c r="A180" i="18"/>
  <c r="D179" i="18"/>
  <c r="C179" i="18"/>
  <c r="B179" i="18"/>
  <c r="A179" i="18"/>
  <c r="D178" i="18"/>
  <c r="C178" i="18"/>
  <c r="B178" i="18"/>
  <c r="A178" i="18"/>
  <c r="D177" i="18"/>
  <c r="C177" i="18"/>
  <c r="B177" i="18"/>
  <c r="A177" i="18"/>
  <c r="D176" i="18"/>
  <c r="C176" i="18"/>
  <c r="B176" i="18"/>
  <c r="A176" i="18"/>
  <c r="D175" i="18"/>
  <c r="C175" i="18"/>
  <c r="B175" i="18"/>
  <c r="A175" i="18"/>
  <c r="D174" i="18"/>
  <c r="C174" i="18"/>
  <c r="B174" i="18"/>
  <c r="A174" i="18"/>
  <c r="D173" i="18"/>
  <c r="C173" i="18"/>
  <c r="B173" i="18"/>
  <c r="A173" i="18"/>
  <c r="D172" i="18"/>
  <c r="C172" i="18"/>
  <c r="B172" i="18"/>
  <c r="A172" i="18"/>
  <c r="D171" i="18"/>
  <c r="C171" i="18"/>
  <c r="B171" i="18"/>
  <c r="A171" i="18"/>
  <c r="D170" i="18"/>
  <c r="C170" i="18"/>
  <c r="B170" i="18"/>
  <c r="A170" i="18"/>
  <c r="D169" i="18"/>
  <c r="C169" i="18"/>
  <c r="B169" i="18"/>
  <c r="A169" i="18"/>
  <c r="D168" i="18"/>
  <c r="C168" i="18"/>
  <c r="B168" i="18"/>
  <c r="A168" i="18"/>
  <c r="D167" i="18"/>
  <c r="C167" i="18"/>
  <c r="B167" i="18"/>
  <c r="A167" i="18"/>
  <c r="D166" i="18"/>
  <c r="C166" i="18"/>
  <c r="B166" i="18"/>
  <c r="A166" i="18"/>
  <c r="D165" i="18"/>
  <c r="C165" i="18"/>
  <c r="B165" i="18"/>
  <c r="A165" i="18"/>
  <c r="D164" i="18"/>
  <c r="C164" i="18"/>
  <c r="B164" i="18"/>
  <c r="A164" i="18"/>
  <c r="D163" i="18"/>
  <c r="C163" i="18"/>
  <c r="B163" i="18"/>
  <c r="A163" i="18"/>
  <c r="D162" i="18"/>
  <c r="C162" i="18"/>
  <c r="B162" i="18"/>
  <c r="A162" i="18"/>
  <c r="D161" i="18"/>
  <c r="C161" i="18"/>
  <c r="B161" i="18"/>
  <c r="A161" i="18"/>
  <c r="D160" i="18"/>
  <c r="C160" i="18"/>
  <c r="B160" i="18"/>
  <c r="A160" i="18"/>
  <c r="D159" i="18"/>
  <c r="C159" i="18"/>
  <c r="B159" i="18"/>
  <c r="A159" i="18"/>
  <c r="D158" i="18"/>
  <c r="C158" i="18"/>
  <c r="B158" i="18"/>
  <c r="A158" i="18"/>
  <c r="D157" i="18"/>
  <c r="C157" i="18"/>
  <c r="B157" i="18"/>
  <c r="A157" i="18"/>
  <c r="D156" i="18"/>
  <c r="C156" i="18"/>
  <c r="B156" i="18"/>
  <c r="A156" i="18"/>
  <c r="D155" i="18"/>
  <c r="C155" i="18"/>
  <c r="B155" i="18"/>
  <c r="A155" i="18"/>
  <c r="D154" i="18"/>
  <c r="C154" i="18"/>
  <c r="B154" i="18"/>
  <c r="A154" i="18"/>
  <c r="D153" i="18"/>
  <c r="C153" i="18"/>
  <c r="B153" i="18"/>
  <c r="A153" i="18"/>
  <c r="D152" i="18"/>
  <c r="C152" i="18"/>
  <c r="B152" i="18"/>
  <c r="A152" i="18"/>
  <c r="D151" i="18"/>
  <c r="C151" i="18"/>
  <c r="B151" i="18"/>
  <c r="A151" i="18"/>
  <c r="D150" i="18"/>
  <c r="C150" i="18"/>
  <c r="B150" i="18"/>
  <c r="A150" i="18"/>
  <c r="D149" i="18"/>
  <c r="C149" i="18"/>
  <c r="B149" i="18"/>
  <c r="A149" i="18"/>
  <c r="D148" i="18"/>
  <c r="C148" i="18"/>
  <c r="B148" i="18"/>
  <c r="A148" i="18"/>
  <c r="D147" i="18"/>
  <c r="C147" i="18"/>
  <c r="B147" i="18"/>
  <c r="A147" i="18"/>
  <c r="D146" i="18"/>
  <c r="C146" i="18"/>
  <c r="B146" i="18"/>
  <c r="A146" i="18"/>
  <c r="D145" i="18"/>
  <c r="C145" i="18"/>
  <c r="B145" i="18"/>
  <c r="A145" i="18"/>
  <c r="D144" i="18"/>
  <c r="C144" i="18"/>
  <c r="B144" i="18"/>
  <c r="A144" i="18"/>
  <c r="D143" i="18"/>
  <c r="C143" i="18"/>
  <c r="B143" i="18"/>
  <c r="A143" i="18"/>
  <c r="D142" i="18"/>
  <c r="C142" i="18"/>
  <c r="B142" i="18"/>
  <c r="A142" i="18"/>
  <c r="D141" i="18"/>
  <c r="C141" i="18"/>
  <c r="B141" i="18"/>
  <c r="A141" i="18"/>
  <c r="D140" i="18"/>
  <c r="C140" i="18"/>
  <c r="B140" i="18"/>
  <c r="A140" i="18"/>
  <c r="D139" i="18"/>
  <c r="C139" i="18"/>
  <c r="B139" i="18"/>
  <c r="A139" i="18"/>
  <c r="D138" i="18"/>
  <c r="C138" i="18"/>
  <c r="B138" i="18"/>
  <c r="A138" i="18"/>
  <c r="D137" i="18"/>
  <c r="C137" i="18"/>
  <c r="B137" i="18"/>
  <c r="A137" i="18"/>
  <c r="D136" i="18"/>
  <c r="C136" i="18"/>
  <c r="B136" i="18"/>
  <c r="A136" i="18"/>
  <c r="D135" i="18"/>
  <c r="C135" i="18"/>
  <c r="B135" i="18"/>
  <c r="A135" i="18"/>
  <c r="D134" i="18"/>
  <c r="C134" i="18"/>
  <c r="B134" i="18"/>
  <c r="A134" i="18"/>
  <c r="D133" i="18"/>
  <c r="C133" i="18"/>
  <c r="B133" i="18"/>
  <c r="A133" i="18"/>
  <c r="D132" i="18"/>
  <c r="C132" i="18"/>
  <c r="B132" i="18"/>
  <c r="A132" i="18"/>
  <c r="D131" i="18"/>
  <c r="C131" i="18"/>
  <c r="B131" i="18"/>
  <c r="A131" i="18"/>
  <c r="D130" i="18"/>
  <c r="C130" i="18"/>
  <c r="B130" i="18"/>
  <c r="A130" i="18"/>
  <c r="D129" i="18"/>
  <c r="C129" i="18"/>
  <c r="B129" i="18"/>
  <c r="A129" i="18"/>
  <c r="D128" i="18"/>
  <c r="C128" i="18"/>
  <c r="B128" i="18"/>
  <c r="A128" i="18"/>
  <c r="D127" i="18"/>
  <c r="C127" i="18"/>
  <c r="B127" i="18"/>
  <c r="A127" i="18"/>
  <c r="D126" i="18"/>
  <c r="C126" i="18"/>
  <c r="B126" i="18"/>
  <c r="A126" i="18"/>
  <c r="D125" i="18"/>
  <c r="C125" i="18"/>
  <c r="B125" i="18"/>
  <c r="A125" i="18"/>
  <c r="D124" i="18"/>
  <c r="C124" i="18"/>
  <c r="B124" i="18"/>
  <c r="A124" i="18"/>
  <c r="D123" i="18"/>
  <c r="C123" i="18"/>
  <c r="B123" i="18"/>
  <c r="A123" i="18"/>
  <c r="D122" i="18"/>
  <c r="C122" i="18"/>
  <c r="B122" i="18"/>
  <c r="A122" i="18"/>
  <c r="D121" i="18"/>
  <c r="C121" i="18"/>
  <c r="B121" i="18"/>
  <c r="A121" i="18"/>
  <c r="D120" i="18"/>
  <c r="C120" i="18"/>
  <c r="B120" i="18"/>
  <c r="A120" i="18"/>
  <c r="D119" i="18"/>
  <c r="C119" i="18"/>
  <c r="B119" i="18"/>
  <c r="A119" i="18"/>
  <c r="D118" i="18"/>
  <c r="C118" i="18"/>
  <c r="B118" i="18"/>
  <c r="A118" i="18"/>
  <c r="D117" i="18"/>
  <c r="C117" i="18"/>
  <c r="B117" i="18"/>
  <c r="A117" i="18"/>
  <c r="D116" i="18"/>
  <c r="C116" i="18"/>
  <c r="B116" i="18"/>
  <c r="A116" i="18"/>
  <c r="D115" i="18"/>
  <c r="C115" i="18"/>
  <c r="B115" i="18"/>
  <c r="A115" i="18"/>
  <c r="D114" i="18"/>
  <c r="C114" i="18"/>
  <c r="B114" i="18"/>
  <c r="A114" i="18"/>
  <c r="D113" i="18"/>
  <c r="C113" i="18"/>
  <c r="B113" i="18"/>
  <c r="A113" i="18"/>
  <c r="D112" i="18"/>
  <c r="C112" i="18"/>
  <c r="B112" i="18"/>
  <c r="A112" i="18"/>
  <c r="D111" i="18"/>
  <c r="C111" i="18"/>
  <c r="B111" i="18"/>
  <c r="A111" i="18"/>
  <c r="D110" i="18"/>
  <c r="C110" i="18"/>
  <c r="B110" i="18"/>
  <c r="A110" i="18"/>
  <c r="D109" i="18"/>
  <c r="C109" i="18"/>
  <c r="B109" i="18"/>
  <c r="A109" i="18"/>
  <c r="D108" i="18"/>
  <c r="C108" i="18"/>
  <c r="B108" i="18"/>
  <c r="A108" i="18"/>
  <c r="D107" i="18"/>
  <c r="C107" i="18"/>
  <c r="B107" i="18"/>
  <c r="A107" i="18"/>
  <c r="D106" i="18"/>
  <c r="C106" i="18"/>
  <c r="B106" i="18"/>
  <c r="A106" i="18"/>
  <c r="D105" i="18"/>
  <c r="C105" i="18"/>
  <c r="B105" i="18"/>
  <c r="A105" i="18"/>
  <c r="D104" i="18"/>
  <c r="C104" i="18"/>
  <c r="B104" i="18"/>
  <c r="A104" i="18"/>
  <c r="D103" i="18"/>
  <c r="C103" i="18"/>
  <c r="B103" i="18"/>
  <c r="A103" i="18"/>
  <c r="D102" i="18"/>
  <c r="C102" i="18"/>
  <c r="B102" i="18"/>
  <c r="A102" i="18"/>
  <c r="D101" i="18"/>
  <c r="C101" i="18"/>
  <c r="B101" i="18"/>
  <c r="A101" i="18"/>
  <c r="D100" i="18"/>
  <c r="C100" i="18"/>
  <c r="B100" i="18"/>
  <c r="A100" i="18"/>
  <c r="D99" i="18"/>
  <c r="C99" i="18"/>
  <c r="B99" i="18"/>
  <c r="A99" i="18"/>
  <c r="D98" i="18"/>
  <c r="C98" i="18"/>
  <c r="B98" i="18"/>
  <c r="A98" i="18"/>
  <c r="D97" i="18"/>
  <c r="C97" i="18"/>
  <c r="B97" i="18"/>
  <c r="A97" i="18"/>
  <c r="D96" i="18"/>
  <c r="C96" i="18"/>
  <c r="B96" i="18"/>
  <c r="A96" i="18"/>
  <c r="D95" i="18"/>
  <c r="C95" i="18"/>
  <c r="B95" i="18"/>
  <c r="A95" i="18"/>
  <c r="D94" i="18"/>
  <c r="C94" i="18"/>
  <c r="B94" i="18"/>
  <c r="A94" i="18"/>
  <c r="D93" i="18"/>
  <c r="C93" i="18"/>
  <c r="B93" i="18"/>
  <c r="A93" i="18"/>
  <c r="D92" i="18"/>
  <c r="C92" i="18"/>
  <c r="B92" i="18"/>
  <c r="A92" i="18"/>
  <c r="D91" i="18"/>
  <c r="C91" i="18"/>
  <c r="B91" i="18"/>
  <c r="A91" i="18"/>
  <c r="D90" i="18"/>
  <c r="C90" i="18"/>
  <c r="B90" i="18"/>
  <c r="A90" i="18"/>
  <c r="D89" i="18"/>
  <c r="C89" i="18"/>
  <c r="B89" i="18"/>
  <c r="A89" i="18"/>
  <c r="D88" i="18"/>
  <c r="C88" i="18"/>
  <c r="B88" i="18"/>
  <c r="A88" i="18"/>
  <c r="D87" i="18"/>
  <c r="C87" i="18"/>
  <c r="B87" i="18"/>
  <c r="A87" i="18"/>
  <c r="D86" i="18"/>
  <c r="C86" i="18"/>
  <c r="B86" i="18"/>
  <c r="A86" i="18"/>
  <c r="D85" i="18"/>
  <c r="C85" i="18"/>
  <c r="B85" i="18"/>
  <c r="A85" i="18"/>
  <c r="D84" i="18"/>
  <c r="C84" i="18"/>
  <c r="B84" i="18"/>
  <c r="A84" i="18"/>
  <c r="D83" i="18"/>
  <c r="C83" i="18"/>
  <c r="B83" i="18"/>
  <c r="A83" i="18"/>
  <c r="D82" i="18"/>
  <c r="C82" i="18"/>
  <c r="B82" i="18"/>
  <c r="A82" i="18"/>
  <c r="D81" i="18"/>
  <c r="C81" i="18"/>
  <c r="B81" i="18"/>
  <c r="A81" i="18"/>
  <c r="D80" i="18"/>
  <c r="C80" i="18"/>
  <c r="B80" i="18"/>
  <c r="A80" i="18"/>
  <c r="D79" i="18"/>
  <c r="C79" i="18"/>
  <c r="B79" i="18"/>
  <c r="A79" i="18"/>
  <c r="D78" i="18"/>
  <c r="C78" i="18"/>
  <c r="B78" i="18"/>
  <c r="A78" i="18"/>
  <c r="D77" i="18"/>
  <c r="C77" i="18"/>
  <c r="B77" i="18"/>
  <c r="A77" i="18"/>
  <c r="D76" i="18"/>
  <c r="C76" i="18"/>
  <c r="B76" i="18"/>
  <c r="A76" i="18"/>
  <c r="D75" i="18"/>
  <c r="C75" i="18"/>
  <c r="B75" i="18"/>
  <c r="A75" i="18"/>
  <c r="D74" i="18"/>
  <c r="C74" i="18"/>
  <c r="B74" i="18"/>
  <c r="A74" i="18"/>
  <c r="D73" i="18"/>
  <c r="C73" i="18"/>
  <c r="B73" i="18"/>
  <c r="A73" i="18"/>
  <c r="D72" i="18"/>
  <c r="C72" i="18"/>
  <c r="B72" i="18"/>
  <c r="A72" i="18"/>
  <c r="D71" i="18"/>
  <c r="C71" i="18"/>
  <c r="B71" i="18"/>
  <c r="A71" i="18"/>
  <c r="D70" i="18"/>
  <c r="C70" i="18"/>
  <c r="B70" i="18"/>
  <c r="A70" i="18"/>
  <c r="D69" i="18"/>
  <c r="C69" i="18"/>
  <c r="B69" i="18"/>
  <c r="A69" i="18"/>
  <c r="D68" i="18"/>
  <c r="C68" i="18"/>
  <c r="B68" i="18"/>
  <c r="A68" i="18"/>
  <c r="D67" i="18"/>
  <c r="C67" i="18"/>
  <c r="B67" i="18"/>
  <c r="A67" i="18"/>
  <c r="D66" i="18"/>
  <c r="C66" i="18"/>
  <c r="B66" i="18"/>
  <c r="A66" i="18"/>
  <c r="D65" i="18"/>
  <c r="C65" i="18"/>
  <c r="B65" i="18"/>
  <c r="A65" i="18"/>
  <c r="D64" i="18"/>
  <c r="C64" i="18"/>
  <c r="B64" i="18"/>
  <c r="A64" i="18"/>
  <c r="D63" i="18"/>
  <c r="C63" i="18"/>
  <c r="B63" i="18"/>
  <c r="A63" i="18"/>
  <c r="D62" i="18"/>
  <c r="C62" i="18"/>
  <c r="B62" i="18"/>
  <c r="A62" i="18"/>
  <c r="D61" i="18"/>
  <c r="C61" i="18"/>
  <c r="B61" i="18"/>
  <c r="A61" i="18"/>
  <c r="D60" i="18"/>
  <c r="C60" i="18"/>
  <c r="B60" i="18"/>
  <c r="A60" i="18"/>
  <c r="D59" i="18"/>
  <c r="C59" i="18"/>
  <c r="B59" i="18"/>
  <c r="A59" i="18"/>
  <c r="D58" i="18"/>
  <c r="C58" i="18"/>
  <c r="B58" i="18"/>
  <c r="A58" i="18"/>
  <c r="D57" i="18"/>
  <c r="C57" i="18"/>
  <c r="B57" i="18"/>
  <c r="A57" i="18"/>
  <c r="D56" i="18"/>
  <c r="C56" i="18"/>
  <c r="B56" i="18"/>
  <c r="A56" i="18"/>
  <c r="D55" i="18"/>
  <c r="C55" i="18"/>
  <c r="B55" i="18"/>
  <c r="A55" i="18"/>
  <c r="D54" i="18"/>
  <c r="C54" i="18"/>
  <c r="B54" i="18"/>
  <c r="A54" i="18"/>
  <c r="D53" i="18"/>
  <c r="C53" i="18"/>
  <c r="B53" i="18"/>
  <c r="A53" i="18"/>
  <c r="D52" i="18"/>
  <c r="C52" i="18"/>
  <c r="B52" i="18"/>
  <c r="A52" i="18"/>
  <c r="D51" i="18"/>
  <c r="C51" i="18"/>
  <c r="B51" i="18"/>
  <c r="A51" i="18"/>
  <c r="D50" i="18"/>
  <c r="C50" i="18"/>
  <c r="B50" i="18"/>
  <c r="A50" i="18"/>
  <c r="D49" i="18"/>
  <c r="C49" i="18"/>
  <c r="B49" i="18"/>
  <c r="A49" i="18"/>
  <c r="D48" i="18"/>
  <c r="C48" i="18"/>
  <c r="B48" i="18"/>
  <c r="A48" i="18"/>
  <c r="D47" i="18"/>
  <c r="C47" i="18"/>
  <c r="B47" i="18"/>
  <c r="A47" i="18"/>
  <c r="D46" i="18"/>
  <c r="C46" i="18"/>
  <c r="B46" i="18"/>
  <c r="A46" i="18"/>
  <c r="D45" i="18"/>
  <c r="C45" i="18"/>
  <c r="B45" i="18"/>
  <c r="A45" i="18"/>
  <c r="D44" i="18"/>
  <c r="C44" i="18"/>
  <c r="B44" i="18"/>
  <c r="A44" i="18"/>
  <c r="D43" i="18"/>
  <c r="C43" i="18"/>
  <c r="B43" i="18"/>
  <c r="A43" i="18"/>
  <c r="D42" i="18"/>
  <c r="C42" i="18"/>
  <c r="B42" i="18"/>
  <c r="A42" i="18"/>
  <c r="D41" i="18"/>
  <c r="C41" i="18"/>
  <c r="B41" i="18"/>
  <c r="A41" i="18"/>
  <c r="D40" i="18"/>
  <c r="C40" i="18"/>
  <c r="B40" i="18"/>
  <c r="A40" i="18"/>
  <c r="D39" i="18"/>
  <c r="C39" i="18"/>
  <c r="B39" i="18"/>
  <c r="A39" i="18"/>
  <c r="D38" i="18"/>
  <c r="C38" i="18"/>
  <c r="B38" i="18"/>
  <c r="A38" i="18"/>
  <c r="D37" i="18"/>
  <c r="C37" i="18"/>
  <c r="B37" i="18"/>
  <c r="A37" i="18"/>
  <c r="D36" i="18"/>
  <c r="C36" i="18"/>
  <c r="B36" i="18"/>
  <c r="A36" i="18"/>
  <c r="D35" i="18"/>
  <c r="C35" i="18"/>
  <c r="B35" i="18"/>
  <c r="A35" i="18"/>
  <c r="D34" i="18"/>
  <c r="C34" i="18"/>
  <c r="B34" i="18"/>
  <c r="A34" i="18"/>
  <c r="D33" i="18"/>
  <c r="C33" i="18"/>
  <c r="B33" i="18"/>
  <c r="A33" i="18"/>
  <c r="D32" i="18"/>
  <c r="C32" i="18"/>
  <c r="B32" i="18"/>
  <c r="A32" i="18"/>
  <c r="D31" i="18"/>
  <c r="C31" i="18"/>
  <c r="B31" i="18"/>
  <c r="A31" i="18"/>
  <c r="D30" i="18"/>
  <c r="C30" i="18"/>
  <c r="B30" i="18"/>
  <c r="A30" i="18"/>
  <c r="D29" i="18"/>
  <c r="C29" i="18"/>
  <c r="B29" i="18"/>
  <c r="A29" i="18"/>
  <c r="D28" i="18"/>
  <c r="C28" i="18"/>
  <c r="B28" i="18"/>
  <c r="A28" i="18"/>
  <c r="D27" i="18"/>
  <c r="C27" i="18"/>
  <c r="B27" i="18"/>
  <c r="A27" i="18"/>
  <c r="D26" i="18"/>
  <c r="C26" i="18"/>
  <c r="B26" i="18"/>
  <c r="A26" i="18"/>
  <c r="D25" i="18"/>
  <c r="C25" i="18"/>
  <c r="B25" i="18"/>
  <c r="A25" i="18"/>
  <c r="D24" i="18"/>
  <c r="C24" i="18"/>
  <c r="B24" i="18"/>
  <c r="A24" i="18"/>
  <c r="D23" i="18"/>
  <c r="C23" i="18"/>
  <c r="B23" i="18"/>
  <c r="A23" i="18"/>
  <c r="D22" i="18"/>
  <c r="C22" i="18"/>
  <c r="B22" i="18"/>
  <c r="A22" i="18"/>
  <c r="D21" i="18"/>
  <c r="C21" i="18"/>
  <c r="B21" i="18"/>
  <c r="A21" i="18"/>
  <c r="D20" i="18"/>
  <c r="C20" i="18"/>
  <c r="B20" i="18"/>
  <c r="A20" i="18"/>
  <c r="D19" i="18"/>
  <c r="C19" i="18"/>
  <c r="B19" i="18"/>
  <c r="A19" i="18"/>
  <c r="D18" i="18"/>
  <c r="C18" i="18"/>
  <c r="B18" i="18"/>
  <c r="A18" i="18"/>
  <c r="D17" i="18"/>
  <c r="C17" i="18"/>
  <c r="B17" i="18"/>
  <c r="A17" i="18"/>
  <c r="D16" i="18"/>
  <c r="C16" i="18"/>
  <c r="B16" i="18"/>
  <c r="A16" i="18"/>
  <c r="D15" i="18"/>
  <c r="C15" i="18"/>
  <c r="B15" i="18"/>
  <c r="A15" i="18"/>
  <c r="D14" i="18"/>
  <c r="C14" i="18"/>
  <c r="B14" i="18"/>
  <c r="A14" i="18"/>
  <c r="F103" i="23" l="1"/>
  <c r="H103" i="23" s="1"/>
  <c r="H107" i="23"/>
  <c r="H108" i="23" s="1"/>
  <c r="E13" i="23" s="1"/>
  <c r="I47" i="23"/>
  <c r="E10" i="23" s="1"/>
  <c r="H72" i="23"/>
  <c r="E11" i="23" s="1"/>
  <c r="I72" i="23"/>
  <c r="I121" i="23"/>
  <c r="J81" i="23"/>
  <c r="J82" i="23" s="1"/>
  <c r="J84" i="23" s="1"/>
  <c r="G103" i="23"/>
  <c r="I103" i="23" s="1"/>
  <c r="I107" i="23"/>
  <c r="E12" i="23"/>
  <c r="B7" i="12"/>
  <c r="B4" i="39"/>
  <c r="B3" i="39"/>
  <c r="B2" i="39"/>
  <c r="B1" i="39"/>
  <c r="Q27" i="39"/>
  <c r="P27" i="39"/>
  <c r="O27" i="39"/>
  <c r="N27" i="39"/>
  <c r="Q26" i="39"/>
  <c r="P26" i="39"/>
  <c r="O26" i="39"/>
  <c r="N26" i="39"/>
  <c r="Q25" i="39"/>
  <c r="P25" i="39"/>
  <c r="O25" i="39"/>
  <c r="N25" i="39"/>
  <c r="Q24" i="39"/>
  <c r="P24" i="39"/>
  <c r="O24" i="39"/>
  <c r="N24" i="39"/>
  <c r="Q23" i="39"/>
  <c r="P23" i="39"/>
  <c r="O23" i="39"/>
  <c r="N23" i="39"/>
  <c r="Q22" i="39"/>
  <c r="P22" i="39"/>
  <c r="O22" i="39"/>
  <c r="N22" i="39"/>
  <c r="Q20" i="39"/>
  <c r="B10" i="39"/>
  <c r="F38" i="39" s="1"/>
  <c r="B9" i="39"/>
  <c r="G112" i="39"/>
  <c r="F112" i="39"/>
  <c r="E112" i="39"/>
  <c r="G111" i="39"/>
  <c r="F111" i="39"/>
  <c r="E111" i="39"/>
  <c r="G110" i="39"/>
  <c r="F110" i="39"/>
  <c r="H110" i="39" s="1"/>
  <c r="E110" i="39"/>
  <c r="G109" i="39"/>
  <c r="F109" i="39"/>
  <c r="E109" i="39"/>
  <c r="G108" i="39"/>
  <c r="F108" i="39"/>
  <c r="E108" i="39"/>
  <c r="G107" i="39"/>
  <c r="F107" i="39"/>
  <c r="E107" i="39"/>
  <c r="G106" i="39"/>
  <c r="F106" i="39"/>
  <c r="E106" i="39"/>
  <c r="G105" i="39"/>
  <c r="F105" i="39"/>
  <c r="E105" i="39"/>
  <c r="E95" i="39"/>
  <c r="D95" i="39"/>
  <c r="F92" i="39"/>
  <c r="G92" i="39" s="1"/>
  <c r="E92" i="39"/>
  <c r="D92" i="39"/>
  <c r="F91" i="39"/>
  <c r="E91" i="39"/>
  <c r="D91" i="39"/>
  <c r="G84" i="39"/>
  <c r="F84" i="39"/>
  <c r="E84" i="39"/>
  <c r="G83" i="39"/>
  <c r="F83" i="39"/>
  <c r="E83" i="39"/>
  <c r="G82" i="39"/>
  <c r="F82" i="39"/>
  <c r="E82" i="39"/>
  <c r="H73" i="39"/>
  <c r="E73" i="39"/>
  <c r="J72" i="39"/>
  <c r="H72" i="39"/>
  <c r="G72" i="39"/>
  <c r="E72" i="39"/>
  <c r="J71" i="39"/>
  <c r="H71" i="39"/>
  <c r="G71" i="39"/>
  <c r="E71" i="39"/>
  <c r="H70" i="39"/>
  <c r="E70" i="39"/>
  <c r="H69" i="39"/>
  <c r="E69" i="39"/>
  <c r="F46" i="39"/>
  <c r="G46" i="39" s="1"/>
  <c r="E46" i="39"/>
  <c r="D46" i="39"/>
  <c r="F45" i="39"/>
  <c r="E45" i="39"/>
  <c r="D45" i="39"/>
  <c r="J28" i="39"/>
  <c r="F28" i="39"/>
  <c r="M27" i="39"/>
  <c r="L27" i="39"/>
  <c r="M26" i="39"/>
  <c r="L26" i="39"/>
  <c r="M25" i="39"/>
  <c r="L25" i="39"/>
  <c r="M24" i="39"/>
  <c r="L24" i="39"/>
  <c r="M23" i="39"/>
  <c r="L23" i="39"/>
  <c r="M22" i="39"/>
  <c r="L22" i="39"/>
  <c r="L21" i="39"/>
  <c r="G69" i="39" s="1"/>
  <c r="J38" i="39"/>
  <c r="L20" i="39"/>
  <c r="H38" i="39" s="1"/>
  <c r="G19" i="39"/>
  <c r="F8" i="39"/>
  <c r="I102" i="39" s="1"/>
  <c r="E8" i="39"/>
  <c r="L18" i="39" s="1"/>
  <c r="H6" i="39"/>
  <c r="H5" i="39"/>
  <c r="F11" i="23" l="1"/>
  <c r="I108" i="23"/>
  <c r="F13" i="23" s="1"/>
  <c r="E127" i="23"/>
  <c r="H127" i="23" s="1"/>
  <c r="E14" i="23" s="1"/>
  <c r="E15" i="23" s="1"/>
  <c r="H82" i="39"/>
  <c r="F61" i="39"/>
  <c r="F62" i="39"/>
  <c r="G62" i="39" s="1"/>
  <c r="F59" i="39"/>
  <c r="F60" i="39"/>
  <c r="G60" i="39" s="1"/>
  <c r="F99" i="39"/>
  <c r="F58" i="39"/>
  <c r="G58" i="39" s="1"/>
  <c r="F57" i="39"/>
  <c r="F51" i="39"/>
  <c r="F56" i="39"/>
  <c r="F53" i="39"/>
  <c r="F52" i="39"/>
  <c r="F49" i="39"/>
  <c r="F55" i="39"/>
  <c r="H111" i="39"/>
  <c r="H91" i="39"/>
  <c r="I106" i="39"/>
  <c r="I107" i="39"/>
  <c r="E66" i="39"/>
  <c r="I111" i="39"/>
  <c r="H83" i="39"/>
  <c r="H107" i="39"/>
  <c r="I46" i="39"/>
  <c r="H79" i="39"/>
  <c r="H32" i="39"/>
  <c r="I112" i="39"/>
  <c r="H42" i="39"/>
  <c r="I82" i="39"/>
  <c r="Q18" i="39"/>
  <c r="H37" i="39"/>
  <c r="J37" i="39"/>
  <c r="G70" i="39"/>
  <c r="I109" i="39"/>
  <c r="H112" i="39"/>
  <c r="H84" i="39"/>
  <c r="I116" i="39"/>
  <c r="J70" i="39"/>
  <c r="H105" i="39"/>
  <c r="I110" i="39"/>
  <c r="M18" i="39"/>
  <c r="H34" i="39"/>
  <c r="H45" i="39"/>
  <c r="H88" i="39"/>
  <c r="H108" i="39"/>
  <c r="H66" i="39"/>
  <c r="N18" i="39"/>
  <c r="J34" i="39"/>
  <c r="I108" i="39"/>
  <c r="I92" i="39"/>
  <c r="I84" i="39"/>
  <c r="P18" i="39"/>
  <c r="M29" i="39"/>
  <c r="J36" i="39"/>
  <c r="H106" i="39"/>
  <c r="Q29" i="39"/>
  <c r="E76" i="39"/>
  <c r="N29" i="39"/>
  <c r="P29" i="39"/>
  <c r="F9" i="39" s="1"/>
  <c r="L29" i="39"/>
  <c r="G73" i="39" s="1"/>
  <c r="H36" i="39"/>
  <c r="H46" i="39"/>
  <c r="H92" i="39"/>
  <c r="I105" i="39"/>
  <c r="H109" i="39"/>
  <c r="H35" i="39"/>
  <c r="J35" i="39"/>
  <c r="O29" i="39"/>
  <c r="J69" i="39"/>
  <c r="G45" i="39"/>
  <c r="I45" i="39" s="1"/>
  <c r="G91" i="39"/>
  <c r="I91" i="39" s="1"/>
  <c r="O18" i="39"/>
  <c r="F34" i="39"/>
  <c r="F35" i="39"/>
  <c r="F36" i="39"/>
  <c r="F37" i="39"/>
  <c r="F50" i="39"/>
  <c r="F54" i="39"/>
  <c r="H76" i="39"/>
  <c r="I79" i="39"/>
  <c r="H116" i="39"/>
  <c r="I83" i="39"/>
  <c r="I42" i="39"/>
  <c r="F63" i="39"/>
  <c r="I88" i="39"/>
  <c r="H102" i="39"/>
  <c r="J32" i="39"/>
  <c r="E9" i="39" l="1"/>
  <c r="F127" i="23"/>
  <c r="I127" i="23" s="1"/>
  <c r="F14" i="23" s="1"/>
  <c r="F15" i="23" s="1"/>
  <c r="H58" i="39"/>
  <c r="H60" i="39"/>
  <c r="I58" i="39"/>
  <c r="I60" i="39"/>
  <c r="I62" i="39"/>
  <c r="H62" i="39"/>
  <c r="E8" i="12"/>
  <c r="F8" i="12"/>
  <c r="G95" i="39"/>
  <c r="I95" i="39" s="1"/>
  <c r="H39" i="39"/>
  <c r="J73" i="39"/>
  <c r="J74" i="39" s="1"/>
  <c r="J76" i="39" s="1"/>
  <c r="J39" i="39"/>
  <c r="H85" i="39"/>
  <c r="E11" i="12" s="1"/>
  <c r="I85" i="39"/>
  <c r="F12" i="39" s="1"/>
  <c r="F11" i="12" s="1"/>
  <c r="F95" i="39"/>
  <c r="H95" i="39" s="1"/>
  <c r="H113" i="39"/>
  <c r="G74" i="39"/>
  <c r="G76" i="39" s="1"/>
  <c r="I113" i="39"/>
  <c r="C14" i="38" l="1"/>
  <c r="C15" i="38" l="1"/>
  <c r="F7" i="24"/>
  <c r="E7" i="24"/>
  <c r="F7" i="12"/>
  <c r="E7" i="12"/>
  <c r="C12" i="38"/>
  <c r="C11" i="38"/>
  <c r="B7" i="24" l="1"/>
  <c r="E11" i="24" l="1"/>
  <c r="F11" i="24"/>
  <c r="F8" i="24" l="1"/>
  <c r="E8" i="24"/>
  <c r="E9" i="24" l="1"/>
  <c r="F10" i="24"/>
  <c r="F9" i="24"/>
  <c r="E10" i="24" l="1"/>
  <c r="D99" i="39"/>
  <c r="D56" i="39"/>
  <c r="D52" i="39"/>
  <c r="D38" i="39"/>
  <c r="D55" i="39"/>
  <c r="D51" i="39"/>
  <c r="D37" i="39"/>
  <c r="D54" i="39"/>
  <c r="D50" i="39"/>
  <c r="D36" i="39"/>
  <c r="D57" i="39"/>
  <c r="D53" i="39"/>
  <c r="D49" i="39"/>
  <c r="D35" i="39"/>
  <c r="E49" i="39" l="1"/>
  <c r="G49" i="39" s="1"/>
  <c r="I49" i="39" s="1"/>
  <c r="E54" i="39"/>
  <c r="I54" i="39"/>
  <c r="H54" i="39"/>
  <c r="E57" i="39"/>
  <c r="G57" i="39" s="1"/>
  <c r="H57" i="39" s="1"/>
  <c r="E52" i="39"/>
  <c r="H52" i="39"/>
  <c r="I52" i="39"/>
  <c r="E53" i="39"/>
  <c r="H53" i="39"/>
  <c r="I53" i="39"/>
  <c r="E51" i="39"/>
  <c r="I51" i="39"/>
  <c r="H51" i="39"/>
  <c r="E56" i="39"/>
  <c r="H56" i="39"/>
  <c r="I56" i="39"/>
  <c r="G56" i="39"/>
  <c r="E50" i="39"/>
  <c r="I50" i="39"/>
  <c r="H50" i="39"/>
  <c r="E55" i="39"/>
  <c r="G53" i="39"/>
  <c r="E36" i="39"/>
  <c r="G36" i="39" s="1"/>
  <c r="G52" i="39"/>
  <c r="G50" i="39"/>
  <c r="E37" i="39"/>
  <c r="G37" i="39" s="1"/>
  <c r="G63" i="39"/>
  <c r="H63" i="39" s="1"/>
  <c r="E35" i="39"/>
  <c r="G35" i="39" s="1"/>
  <c r="G54" i="39"/>
  <c r="G51" i="39"/>
  <c r="E34" i="39"/>
  <c r="G34" i="39" s="1"/>
  <c r="K34" i="39" s="1"/>
  <c r="G55" i="39"/>
  <c r="I55" i="39" s="1"/>
  <c r="E38" i="39"/>
  <c r="G38" i="39" s="1"/>
  <c r="K38" i="39" s="1"/>
  <c r="E99" i="39"/>
  <c r="G99" i="39"/>
  <c r="H49" i="39" l="1"/>
  <c r="I57" i="39"/>
  <c r="H55" i="39"/>
  <c r="I63" i="39"/>
  <c r="I34" i="39"/>
  <c r="K36" i="39"/>
  <c r="I36" i="39"/>
  <c r="I37" i="39"/>
  <c r="K37" i="39"/>
  <c r="K35" i="39"/>
  <c r="I35" i="39"/>
  <c r="I99" i="39"/>
  <c r="I100" i="39" s="1"/>
  <c r="F13" i="39" s="1"/>
  <c r="F12" i="12" s="1"/>
  <c r="H99" i="39"/>
  <c r="E12" i="12" s="1"/>
  <c r="I38" i="39"/>
  <c r="E12" i="24"/>
  <c r="F12" i="24"/>
  <c r="E10" i="12" l="1"/>
  <c r="K39" i="39"/>
  <c r="F9" i="12" s="1"/>
  <c r="I39" i="39"/>
  <c r="E9" i="12" s="1"/>
  <c r="I64" i="39"/>
  <c r="F10" i="12" s="1"/>
  <c r="F13" i="24"/>
  <c r="E13" i="24" l="1"/>
  <c r="E22" i="24" s="1"/>
  <c r="H119" i="39"/>
  <c r="E14" i="39" s="1"/>
  <c r="E13" i="12" s="1"/>
  <c r="F119" i="39"/>
  <c r="I119" i="39" s="1"/>
  <c r="F14" i="39" s="1"/>
  <c r="F15" i="39" s="1"/>
  <c r="F22" i="24"/>
  <c r="E15" i="39" l="1"/>
  <c r="F13" i="12"/>
  <c r="F22" i="12" s="1"/>
  <c r="E22" i="12"/>
</calcChain>
</file>

<file path=xl/sharedStrings.xml><?xml version="1.0" encoding="utf-8"?>
<sst xmlns="http://schemas.openxmlformats.org/spreadsheetml/2006/main" count="1537" uniqueCount="492">
  <si>
    <t>PHONE, FAX, COMMUNICATION LINE</t>
  </si>
  <si>
    <t>26</t>
  </si>
  <si>
    <t>Description</t>
  </si>
  <si>
    <t>GL</t>
  </si>
  <si>
    <t>INSPECTIONS &amp; CERTIFICATIONS</t>
  </si>
  <si>
    <t>04</t>
  </si>
  <si>
    <t>CONFERENCE CALL CHARGES</t>
  </si>
  <si>
    <t>POSTAGE - STATE MAILROOM</t>
  </si>
  <si>
    <t>OUTSIDE POSTAGE</t>
  </si>
  <si>
    <t>STATE PRINTING CHARGES</t>
  </si>
  <si>
    <t>NON-STATE PRINTING SERVICES</t>
  </si>
  <si>
    <t>OPERATING SUPPLIES</t>
  </si>
  <si>
    <t xml:space="preserve">CATEGORY 04 OPERATING
</t>
  </si>
  <si>
    <t>03</t>
  </si>
  <si>
    <t>TOTAL POSITIONS NEEDED</t>
  </si>
  <si>
    <t>Grade / Step</t>
  </si>
  <si>
    <t>Average Monthly 
Cost Per Filled FTE</t>
  </si>
  <si>
    <t>(Calculated # of Months from Staffing Needs chart used for calculations)</t>
  </si>
  <si>
    <t>Summary of Costs</t>
  </si>
  <si>
    <t>Total Cost of Concept Paper</t>
  </si>
  <si>
    <t>Allowable Sq Ft Per FTE</t>
  </si>
  <si>
    <t>SUB-TOTAL</t>
  </si>
  <si>
    <t>Total Estimated Cost</t>
  </si>
  <si>
    <t xml:space="preserve">Average Monthly Cost Per Filled FTE </t>
  </si>
  <si>
    <r>
      <rPr>
        <b/>
        <i/>
        <sz val="10"/>
        <color indexed="10"/>
        <rFont val="Arial"/>
        <family val="2"/>
      </rPr>
      <t>REQUIRED FIELD</t>
    </r>
    <r>
      <rPr>
        <b/>
        <i/>
        <sz val="10"/>
        <color indexed="8"/>
        <rFont val="Arial"/>
        <family val="2"/>
      </rPr>
      <t xml:space="preserve">
Will FTE Travel?</t>
    </r>
  </si>
  <si>
    <t>Yes</t>
  </si>
  <si>
    <t>No</t>
  </si>
  <si>
    <t># of Months for FTE who travel</t>
  </si>
  <si>
    <t>05</t>
  </si>
  <si>
    <r>
      <rPr>
        <b/>
        <i/>
        <sz val="10"/>
        <color indexed="10"/>
        <rFont val="Arial"/>
        <family val="2"/>
      </rPr>
      <t xml:space="preserve">REQUIRED FIELD
</t>
    </r>
    <r>
      <rPr>
        <b/>
        <i/>
        <sz val="10"/>
        <rFont val="Arial"/>
        <family val="2"/>
      </rPr>
      <t>Equipment Type</t>
    </r>
  </si>
  <si>
    <t xml:space="preserve">
Cost per FTE Based on NEBS Schedule</t>
  </si>
  <si>
    <t>FTE DROP DOWNS</t>
  </si>
  <si>
    <t>Program</t>
  </si>
  <si>
    <t>Desktop</t>
  </si>
  <si>
    <t>Laptop</t>
  </si>
  <si>
    <t>Equipment</t>
  </si>
  <si>
    <r>
      <rPr>
        <b/>
        <i/>
        <sz val="10"/>
        <color indexed="10"/>
        <rFont val="Arial"/>
        <family val="2"/>
      </rPr>
      <t>REQUIRED FIELD</t>
    </r>
    <r>
      <rPr>
        <b/>
        <i/>
        <sz val="10"/>
        <color indexed="8"/>
        <rFont val="Arial"/>
        <family val="2"/>
      </rPr>
      <t xml:space="preserve">
Will FTE Require Cellular Phone?</t>
    </r>
  </si>
  <si>
    <t>Anticipated Moving Costs</t>
  </si>
  <si>
    <t>Copier</t>
  </si>
  <si>
    <t>Additional Reception Areas</t>
  </si>
  <si>
    <t>New Location - equipment space (50 sf per location)</t>
  </si>
  <si>
    <t>For Fiscal Use Only</t>
  </si>
  <si>
    <t>Notes:</t>
  </si>
  <si>
    <t>Total Allowable
Sq Ft</t>
  </si>
  <si>
    <t>Total Est. Cost of Concept Paper</t>
  </si>
  <si>
    <t>82 (or special use category)</t>
  </si>
  <si>
    <t>Cost for Indirect/Admin in lieu of indirect</t>
  </si>
  <si>
    <t>Current Rate</t>
  </si>
  <si>
    <t>10.522</t>
  </si>
  <si>
    <t>Primary Care Office</t>
  </si>
  <si>
    <t>07.637</t>
  </si>
  <si>
    <t>Position Location</t>
  </si>
  <si>
    <t>Per-Diem In-State</t>
  </si>
  <si>
    <t>Non-Motor Pool Vehicle Rental</t>
  </si>
  <si>
    <t>Personal Vehicle</t>
  </si>
  <si>
    <t>In State Air Fare</t>
  </si>
  <si>
    <t>Operating Supplies</t>
  </si>
  <si>
    <t>Non-State Printing Services</t>
  </si>
  <si>
    <t>State Printing Charges</t>
  </si>
  <si>
    <t>Postage - State Mailroom</t>
  </si>
  <si>
    <t>Phone, Fax, Communication Line</t>
  </si>
  <si>
    <t>Cellular Phone</t>
  </si>
  <si>
    <t>Voice Mail</t>
  </si>
  <si>
    <t>Conference Area</t>
  </si>
  <si>
    <t>Data Processing Supplies</t>
  </si>
  <si>
    <t>Email Service</t>
  </si>
  <si>
    <t>Laptop W/Operating System</t>
  </si>
  <si>
    <t>Laptop Docking Station</t>
  </si>
  <si>
    <t>Desktop W/Operating System</t>
  </si>
  <si>
    <t>Microsoft Office Suite Pro</t>
  </si>
  <si>
    <t>State Motor Pool - Daily Rental</t>
  </si>
  <si>
    <t>Printing And Copying - Outside Sources</t>
  </si>
  <si>
    <t>Microfilm - State Micrographics</t>
  </si>
  <si>
    <t>Excess Print Charges - Copiers</t>
  </si>
  <si>
    <t>Toner Cartridges &amp; Supplies</t>
  </si>
  <si>
    <t>EITS Long Distance Charges</t>
  </si>
  <si>
    <t>Location</t>
  </si>
  <si>
    <t>Carson City</t>
  </si>
  <si>
    <t>Las Vegas</t>
  </si>
  <si>
    <t>Reno</t>
  </si>
  <si>
    <t>Elko</t>
  </si>
  <si>
    <t>Rural</t>
  </si>
  <si>
    <t>First Line Supervisors</t>
  </si>
  <si>
    <t xml:space="preserve">Total Base Costs 
</t>
  </si>
  <si>
    <t>Avg Monthly Base Cost</t>
  </si>
  <si>
    <t>Total # of Filled FTE who traveled in Base Year</t>
  </si>
  <si>
    <r>
      <rPr>
        <b/>
        <i/>
        <sz val="10"/>
        <color indexed="10"/>
        <rFont val="Arial"/>
        <family val="2"/>
      </rPr>
      <t xml:space="preserve">REQUIRED FIELD
</t>
    </r>
    <r>
      <rPr>
        <b/>
        <i/>
        <sz val="10"/>
        <rFont val="Arial"/>
        <family val="2"/>
      </rPr>
      <t>Position Type</t>
    </r>
  </si>
  <si>
    <t>Middle Management</t>
  </si>
  <si>
    <t>Clerical Support</t>
  </si>
  <si>
    <t>Division Head/Deputy/Chief</t>
  </si>
  <si>
    <t>Radiation Control Manager</t>
  </si>
  <si>
    <t>PUBLIC HEALTH PREPAREDNESS PROGRAM</t>
  </si>
  <si>
    <t>E232</t>
  </si>
  <si>
    <t>State of Nevada - Budget Division</t>
  </si>
  <si>
    <t>Payroll/Position Detail</t>
  </si>
  <si>
    <t>Mode: summary</t>
  </si>
  <si>
    <t>Section A: Position Detail</t>
  </si>
  <si>
    <t>BA #</t>
  </si>
  <si>
    <t>Dec Unit</t>
  </si>
  <si>
    <t>Pos Group</t>
  </si>
  <si>
    <t>Pos Type</t>
  </si>
  <si>
    <t>Pos Desc</t>
  </si>
  <si>
    <t>PCN#</t>
  </si>
  <si>
    <t>Class Code</t>
  </si>
  <si>
    <t>Gd-Step</t>
  </si>
  <si>
    <t>Gd-Add</t>
  </si>
  <si>
    <t>Anv Mo</t>
  </si>
  <si>
    <t>St Date</t>
  </si>
  <si>
    <t>End Date</t>
  </si>
  <si>
    <t>Ret Cd</t>
  </si>
  <si>
    <t>FTE Actual</t>
  </si>
  <si>
    <t>FTE WP</t>
  </si>
  <si>
    <t>FTE YR1</t>
  </si>
  <si>
    <t>FTE YR2</t>
  </si>
  <si>
    <t>Merit Inc</t>
  </si>
  <si>
    <t>Salary YR1</t>
  </si>
  <si>
    <t>Benefits YR1</t>
  </si>
  <si>
    <t>Salary YR2</t>
  </si>
  <si>
    <t>Benefits YR2</t>
  </si>
  <si>
    <t>3218</t>
  </si>
  <si>
    <t>E232 EFFICIENT AND RESPONSIVE STATE GOVERNMENT</t>
  </si>
  <si>
    <t>New</t>
  </si>
  <si>
    <t>RADIATION CONTROL MANAGER</t>
  </si>
  <si>
    <t>10522</t>
  </si>
  <si>
    <t>0</t>
  </si>
  <si>
    <t>10</t>
  </si>
  <si>
    <t>Y</t>
  </si>
  <si>
    <t>BAV Line Items</t>
  </si>
  <si>
    <t>Budget Account: 3218 HHS-DPBH - PUBLIC HEALTH PREPAREDNESS PROGRAM</t>
  </si>
  <si>
    <t>Department: 40 DEPARTMENT OF HEALTH AND HUMAN SERVICES</t>
  </si>
  <si>
    <t>Division: 406 DHHS - PUBLIC AND BEHAVIORAL HEALTH</t>
  </si>
  <si>
    <t>Sub-Function: 406 DIVISION OF PUBLIC AND BEHAVIORAL HEALTH</t>
  </si>
  <si>
    <t>Fund: 101 GENERAL FUND</t>
  </si>
  <si>
    <t>DU</t>
  </si>
  <si>
    <t>Grp</t>
  </si>
  <si>
    <t>Catg</t>
  </si>
  <si>
    <t>Actual</t>
  </si>
  <si>
    <t>Work Pgm</t>
  </si>
  <si>
    <t>Year 1</t>
  </si>
  <si>
    <t>Year 2</t>
  </si>
  <si>
    <t>Schedule</t>
  </si>
  <si>
    <t>BALANCE FORWARD FROM PREVIOUS YEAR</t>
  </si>
  <si>
    <t>- None -</t>
  </si>
  <si>
    <t>BALANCE FORWARD TO NEW YEAR</t>
  </si>
  <si>
    <t>PUBLIC HEALTH EMERGENCY PREPAREDNESS</t>
  </si>
  <si>
    <t>HOSPITAL &amp; HEALTH CARE PREPARDNESS GRANT</t>
  </si>
  <si>
    <t>BIO WATCH</t>
  </si>
  <si>
    <t>FEDERAL PRIMARY CARE OFFICE</t>
  </si>
  <si>
    <t>PUBLIC HEALTH INFRASTRUCTURE</t>
  </si>
  <si>
    <t>LICENSE REVIEW FEE</t>
  </si>
  <si>
    <t>J-1 VISA APPLICATION FEES</t>
  </si>
  <si>
    <t>TRANS FROM BA 3216</t>
  </si>
  <si>
    <t>TRANSFER FROM BA 3222 - MCH GRANT</t>
  </si>
  <si>
    <t>SALARIES</t>
  </si>
  <si>
    <t>PAYROLL</t>
  </si>
  <si>
    <t>WORKERS COMPENSATION</t>
  </si>
  <si>
    <t>RETIREMENT</t>
  </si>
  <si>
    <t>PERSONNEL ASSESSMENT</t>
  </si>
  <si>
    <t>GROUP INSURANCE</t>
  </si>
  <si>
    <t>PAYROLL ASSESSMENT</t>
  </si>
  <si>
    <t>RETIRED EMPLOYEES GROUP INSURANCE</t>
  </si>
  <si>
    <t>UNEMPLOYMENT COMPENSATION</t>
  </si>
  <si>
    <t>OVERTIME PAY</t>
  </si>
  <si>
    <t>MEDICARE</t>
  </si>
  <si>
    <t>STANDBY PAY</t>
  </si>
  <si>
    <t>ELIMINATE LONGEVITY PAY</t>
  </si>
  <si>
    <t>LONGEVITY PAY</t>
  </si>
  <si>
    <t>LONGEVITY</t>
  </si>
  <si>
    <t>TERMINAL ANNUAL LEAVE PAY</t>
  </si>
  <si>
    <t>PER DIEM IN-STATE</t>
  </si>
  <si>
    <t>PERSONAL VEHICLE IN-STATE</t>
  </si>
  <si>
    <t>COMM AIR TRANS IN-STATE</t>
  </si>
  <si>
    <t>EMPLOYEE BOND INSURANCE</t>
  </si>
  <si>
    <t>AG TORT CLAIM ASSESSMENT</t>
  </si>
  <si>
    <t>NON-STATE OWNED OFFICE RENT</t>
  </si>
  <si>
    <t>BUILDING RENT NON-BUILDINGS AND GROUNDS</t>
  </si>
  <si>
    <t>NON-STATE OWNED STORAGE RENT</t>
  </si>
  <si>
    <t>OTHER UTILITIES</t>
  </si>
  <si>
    <t>B &amp; G LEASE ASSESSMENT</t>
  </si>
  <si>
    <t>EITS</t>
  </si>
  <si>
    <t>OPERATING</t>
  </si>
  <si>
    <t>PER DIEM OUT-OF-STATE</t>
  </si>
  <si>
    <t>PUBLIC TRANS OUT-OF-STATE</t>
  </si>
  <si>
    <t>PERSONAL VEHICLE OUT-OF-STATE</t>
  </si>
  <si>
    <t>COMM AIR TRANS OUT-OF-STATE</t>
  </si>
  <si>
    <t>FS DAILY RENTAL IN-STATE</t>
  </si>
  <si>
    <t>NON-FS VEHICLE RENTAL IN-STATE</t>
  </si>
  <si>
    <t>FREIGHT CHARGES</t>
  </si>
  <si>
    <t>AGENCY OWNED - PROP. &amp; CONT. INSURANCE</t>
  </si>
  <si>
    <t>AGENCY-OWNED PROPERTY AND CONTENTS</t>
  </si>
  <si>
    <t>NON B&amp;G - PROP. &amp; CONT. INSURANCE</t>
  </si>
  <si>
    <t>CONTRACTS - D</t>
  </si>
  <si>
    <t>VENDOR SERVICES</t>
  </si>
  <si>
    <t>CONTRACTS - K</t>
  </si>
  <si>
    <t>SOFTWARE LICENSE/MNT CONTRACTS</t>
  </si>
  <si>
    <t>CELL PHONE/PAGER CHARGES</t>
  </si>
  <si>
    <t>EITS LONG DISTANCE CHARGES</t>
  </si>
  <si>
    <t>MEMBERSHIP DUES</t>
  </si>
  <si>
    <t>PUBLICATIONS AND PERIODICALS</t>
  </si>
  <si>
    <t>COST ALLOCATION - E</t>
  </si>
  <si>
    <t>HHS - DPBH ADMIN (INDIRECT)</t>
  </si>
  <si>
    <t>EITS EMAIL SERVICE</t>
  </si>
  <si>
    <t>COMPUTER SOFTWARE &lt;$5,000 - A</t>
  </si>
  <si>
    <t>EQUIPMENT</t>
  </si>
  <si>
    <t>OPERATING LEASE PAYMENTS</t>
  </si>
  <si>
    <t>COMPUTER HARDWARE &lt;$5,000 - A</t>
  </si>
  <si>
    <t>REGISTRATION FEES</t>
  </si>
  <si>
    <t>UNIVERSITY OF NEVADA RENO</t>
  </si>
  <si>
    <t>CONTRACTS - J</t>
  </si>
  <si>
    <t>ADVERTISING &amp; PUBLIC RELATIONS</t>
  </si>
  <si>
    <t>CONTRACTS - A</t>
  </si>
  <si>
    <t>HARDWARE LICENSE/MNT CONTRACTS</t>
  </si>
  <si>
    <t>COMPUTER SOFTWARE &gt;$5,000</t>
  </si>
  <si>
    <t>CONTRACTS</t>
  </si>
  <si>
    <t>EXPENDITURES CARSON CITY CO</t>
  </si>
  <si>
    <t>NON-FS VEHICLE RENTAL OUT-OF-STATE</t>
  </si>
  <si>
    <t>AUTO MISC OUT-OF-STATE</t>
  </si>
  <si>
    <t>PUBLIC TRANSPORTATION IN-STATE</t>
  </si>
  <si>
    <t>OPERATING SUPPLIES-H</t>
  </si>
  <si>
    <t>VEHICLE COMP &amp; COLLISION INS</t>
  </si>
  <si>
    <t>AGENCY OWNED VEHICLES</t>
  </si>
  <si>
    <t>AG VEHICLE LIABILITY INSURANCE</t>
  </si>
  <si>
    <t>CONTRACTS - F</t>
  </si>
  <si>
    <t>OUTSIDE MAINTENANCE OF VEHICLE</t>
  </si>
  <si>
    <t>MED/DENT SVCS - NON-CONTRACT</t>
  </si>
  <si>
    <t>MED/DENT SUPP - NON-CONTRACT</t>
  </si>
  <si>
    <t>TELEPHONE &amp; DATA WIRING</t>
  </si>
  <si>
    <t>INSTRUCTIONAL SUPPLIES</t>
  </si>
  <si>
    <t>EQUIPMENT PURCHASES &lt; $1,000</t>
  </si>
  <si>
    <t>EITS WEB SERVICES</t>
  </si>
  <si>
    <t>EITS NON-SERVER HOSTING - BASIC</t>
  </si>
  <si>
    <t>EITS SERVER HOSTING - BASIC</t>
  </si>
  <si>
    <t>EITS MICROWAVE SITE SPACE RENT</t>
  </si>
  <si>
    <t>EXPENDITURES CLARK CO</t>
  </si>
  <si>
    <t>EXPENDITURES WASHOE CO</t>
  </si>
  <si>
    <t>EXPENDITURES BOARD &amp; COMMISSION</t>
  </si>
  <si>
    <t>AID TO NON-PROFIT ORGS</t>
  </si>
  <si>
    <t>TRANS TO HEALTH DIVISION</t>
  </si>
  <si>
    <t>AUTO MISC - IN-STATE</t>
  </si>
  <si>
    <t>FOOD</t>
  </si>
  <si>
    <t>AID TO NON-PROFIT ORGS-E</t>
  </si>
  <si>
    <t>EITS INFRASTRUCTURE ASSESSMENT</t>
  </si>
  <si>
    <t>EITS SECURITY ASSESSMENT</t>
  </si>
  <si>
    <t>UNIVERSITY OF NEVADA LAS VEGAS</t>
  </si>
  <si>
    <t>NDOT RADIO COST ALLOCATION</t>
  </si>
  <si>
    <t>NDOT COST ALLOCATION - RADIOS</t>
  </si>
  <si>
    <t>PURCHASING ASSESSMENT</t>
  </si>
  <si>
    <t>STATEWIDE COST ALLOCATION</t>
  </si>
  <si>
    <t>HEALTH AND HUMAN SERVICES</t>
  </si>
  <si>
    <t>PUBLIC AND BEHAVIORAL HEALTH</t>
  </si>
  <si>
    <t>DEPARTMENT:</t>
  </si>
  <si>
    <t>DIVISION:</t>
  </si>
  <si>
    <t>Cost Per Sq Ft based on Current Lease</t>
  </si>
  <si>
    <r>
      <t xml:space="preserve">Position Title
</t>
    </r>
    <r>
      <rPr>
        <i/>
        <sz val="10"/>
        <color theme="1"/>
        <rFont val="Arial"/>
        <family val="2"/>
      </rPr>
      <t>(Must match NEBS)</t>
    </r>
  </si>
  <si>
    <t>BUDGET ACCOUNT NUMBER:</t>
  </si>
  <si>
    <t>BUDGET ACCOUNT NAME:</t>
  </si>
  <si>
    <t>DECISION UNIT:</t>
  </si>
  <si>
    <t>Employee Bond</t>
  </si>
  <si>
    <t>AG Tort</t>
  </si>
  <si>
    <t>FTE Driven Costs</t>
  </si>
  <si>
    <t>Total Base Costs</t>
  </si>
  <si>
    <t>Year 1 Rate Per FTE</t>
  </si>
  <si>
    <t>Year 2 Rate Per FTE</t>
  </si>
  <si>
    <t>FTE in Year 1</t>
  </si>
  <si>
    <t>FTE in Year 2</t>
  </si>
  <si>
    <t>○</t>
  </si>
  <si>
    <t>Click on the Excel Icon to export, Open</t>
  </si>
  <si>
    <t xml:space="preserve">Save File </t>
  </si>
  <si>
    <t>NEBS 130 Download Tab</t>
  </si>
  <si>
    <t>Select NEBS 130 Payroll/Position Detail Report Under Payroll Reports</t>
  </si>
  <si>
    <t>Select Budget Period, Budget Account, Version, and Decision Unit(s) Containing New Positions</t>
  </si>
  <si>
    <t>Select the upper right hand corner of the downloaded worksheet to highlight the entire document, right click and select Copy.</t>
  </si>
  <si>
    <t>EITS Infrastructure Assessment</t>
  </si>
  <si>
    <t>EITS Security Assessment</t>
  </si>
  <si>
    <t>Equipment Schedule Cost</t>
  </si>
  <si>
    <t>Base Number of FTE</t>
  </si>
  <si>
    <t>Total Positions Requested:</t>
  </si>
  <si>
    <t>Base Number of FTE:</t>
  </si>
  <si>
    <t>Base FTE Who Travel:</t>
  </si>
  <si>
    <t>For Fiscal use only</t>
  </si>
  <si>
    <t>Calculated Fields</t>
  </si>
  <si>
    <r>
      <t xml:space="preserve">Total Estimated Cost
</t>
    </r>
    <r>
      <rPr>
        <i/>
        <sz val="8"/>
        <color indexed="8"/>
        <rFont val="Arial"/>
        <family val="2"/>
      </rPr>
      <t>(Based on FTE months filled)</t>
    </r>
  </si>
  <si>
    <t>Average of Base Year Costs</t>
  </si>
  <si>
    <t>2nd Computer Monitor - Desktop</t>
  </si>
  <si>
    <t>Medium Duty Printer</t>
  </si>
  <si>
    <t>Surge Protector</t>
  </si>
  <si>
    <t>Year 1 Sub Total of Allowable Costs</t>
  </si>
  <si>
    <t>Year 2 Sub Total of Allowable Costs</t>
  </si>
  <si>
    <t>New Position Cost Projections - Template</t>
  </si>
  <si>
    <t xml:space="preserve"> Number of FTE</t>
  </si>
  <si>
    <t>01 - Personnel Services</t>
  </si>
  <si>
    <t>04 - Operating</t>
  </si>
  <si>
    <t>CATEGORY 04 BUILDING LEASE</t>
  </si>
  <si>
    <t>26 - Information Services</t>
  </si>
  <si>
    <t>CATEGORY 26 INFORMATION SERVICES - OPERATING</t>
  </si>
  <si>
    <t xml:space="preserve">05 - Equipment/Furniture </t>
  </si>
  <si>
    <t>CALCULATED # OF MONTHS/TOTAL SALARY &amp; BENEFITS</t>
  </si>
  <si>
    <t>CATEGORY 03 IN-STATE TRAVEL</t>
  </si>
  <si>
    <t>TOTAL CATEGORY 03 IN-STATE TRAVEL</t>
  </si>
  <si>
    <t>TOTAL CATEGORY 04 OPERATING</t>
  </si>
  <si>
    <t>TOTAL CATEGORY 04 BUILDING LEASE</t>
  </si>
  <si>
    <t>TOTAL CATEGORY 26 INFORMATION SERVICES - OPERATING</t>
  </si>
  <si>
    <t>Computer Hardware and Software</t>
  </si>
  <si>
    <t xml:space="preserve">CATEGORY 26 INFORMATION SERVICES - COMPUTER HARDWARE/SOFTWARE
</t>
  </si>
  <si>
    <t>TOTAL CATEGORY 26 INFORMATION SERVICES - COMPUTER HARDWARE/SOFTWARE</t>
  </si>
  <si>
    <t>82/SU - Cost Allocation</t>
  </si>
  <si>
    <t>Ink Jet Light Duty (&gt;First Line Sups)</t>
  </si>
  <si>
    <t>Other Costs Not Included</t>
  </si>
  <si>
    <t>Staff required to provide decision unit, written justification and backup quotes.</t>
  </si>
  <si>
    <t>Summary Template Tab</t>
  </si>
  <si>
    <t>Staff Needs to update</t>
  </si>
  <si>
    <t>Decision Unit Template(s)</t>
  </si>
  <si>
    <t>Go to the NEBS Reports tab</t>
  </si>
  <si>
    <r>
      <t xml:space="preserve">Purpose:  </t>
    </r>
    <r>
      <rPr>
        <sz val="12"/>
        <rFont val="Times New Roman"/>
        <family val="1"/>
      </rPr>
      <t>This template is designed to simplify developing standard costs to support new position requests and are based upon base year expenditures and approved rates.</t>
    </r>
  </si>
  <si>
    <t>Enter Department Name, Division Name, Budget Account Number and Budget Account Name</t>
  </si>
  <si>
    <t>Object Code</t>
  </si>
  <si>
    <t>Category</t>
  </si>
  <si>
    <t>POSITIONS NEEDED</t>
  </si>
  <si>
    <t>82/SU - Cost Allocation/Indirect</t>
  </si>
  <si>
    <t>Calculated Fields - Do Not Change</t>
  </si>
  <si>
    <t>Legend:</t>
  </si>
  <si>
    <t>82/SU - Indirect Costs</t>
  </si>
  <si>
    <t>INDIRECT COSTS</t>
  </si>
  <si>
    <t xml:space="preserve"> NEBS Actuals Download Tab</t>
  </si>
  <si>
    <t>Go into the NEBS Line Items tab of the applicable budget account, Base decision unit filtered</t>
  </si>
  <si>
    <t>Step 2:  Download the NEBS 130 Report (enhancement decision units adding new positions only)</t>
  </si>
  <si>
    <t>Select Download Data (XLS), Open Document</t>
  </si>
  <si>
    <t>Step 3:  Complete the Summary Tab Heading &amp; Base Position Information</t>
  </si>
  <si>
    <t>Step 4:  Complete the Decision Unit Template Tab(s)</t>
  </si>
  <si>
    <t>Rename each Decision Unit Template Tab to the Enhancement Decision Unit number by selecting Right Click, Rename, type in the new name, click back on the spreadsheet.</t>
  </si>
  <si>
    <t>Enter the number of FTE in Base and the number of those FTE who travel (Cells B8-9)</t>
  </si>
  <si>
    <t>Position Class Code</t>
  </si>
  <si>
    <t>Year 1 Rate Per Month</t>
  </si>
  <si>
    <t>Year 2 Rate Per Month</t>
  </si>
  <si>
    <t>Sum 
# of FTE Months Requested</t>
  </si>
  <si>
    <t>FTE Months Requested</t>
  </si>
  <si>
    <r>
      <t xml:space="preserve">Secretarial Office Furniture 'Entire Unit'; 
Cubicle or desk credenza, chair, 4 drwr filing cabinet, wastebasket, bookcase, &amp; workstation  - </t>
    </r>
    <r>
      <rPr>
        <b/>
        <i/>
        <sz val="10"/>
        <rFont val="Arial"/>
        <family val="2"/>
      </rPr>
      <t>all but</t>
    </r>
    <r>
      <rPr>
        <i/>
        <sz val="10"/>
        <rFont val="Arial"/>
        <family val="2"/>
      </rPr>
      <t xml:space="preserve"> Chiefs/Deputies/Administrators  </t>
    </r>
  </si>
  <si>
    <r>
      <t xml:space="preserve">Executive Office Furniture 'Entire Unit'; 
Cubicle or desk credenza, chair, 4 drwr filing cabinet, wastebasket, bookcase, &amp; workstation  -  </t>
    </r>
    <r>
      <rPr>
        <b/>
        <i/>
        <sz val="10"/>
        <rFont val="Arial"/>
        <family val="2"/>
      </rPr>
      <t>Only</t>
    </r>
    <r>
      <rPr>
        <i/>
        <sz val="10"/>
        <rFont val="Arial"/>
        <family val="2"/>
      </rPr>
      <t xml:space="preserve"> Chiefs/Deputies/Administrators  </t>
    </r>
  </si>
  <si>
    <t>SPECIAL USE CATEGORY:</t>
  </si>
  <si>
    <r>
      <rPr>
        <b/>
        <i/>
        <sz val="10"/>
        <color indexed="8"/>
        <rFont val="Arial"/>
        <family val="2"/>
      </rPr>
      <t xml:space="preserve">Annual Salary
</t>
    </r>
    <r>
      <rPr>
        <i/>
        <sz val="10"/>
        <color indexed="8"/>
        <rFont val="Arial"/>
        <family val="2"/>
      </rPr>
      <t>(Linked to NEBS 130 Template</t>
    </r>
    <r>
      <rPr>
        <i/>
        <sz val="8"/>
        <color indexed="8"/>
        <rFont val="Arial"/>
        <family val="2"/>
      </rPr>
      <t>)</t>
    </r>
  </si>
  <si>
    <r>
      <rPr>
        <b/>
        <i/>
        <sz val="10"/>
        <color indexed="8"/>
        <rFont val="Arial"/>
        <family val="2"/>
      </rPr>
      <t xml:space="preserve">Annual Benefits
</t>
    </r>
    <r>
      <rPr>
        <i/>
        <sz val="10"/>
        <color indexed="8"/>
        <rFont val="Arial"/>
        <family val="2"/>
      </rPr>
      <t>(Linked to NEBS 130 Template</t>
    </r>
    <r>
      <rPr>
        <i/>
        <sz val="8"/>
        <color indexed="8"/>
        <rFont val="Arial"/>
        <family val="2"/>
      </rPr>
      <t>)</t>
    </r>
  </si>
  <si>
    <t>Staff required to provide decision unit, written justification and backup quotes for this section.</t>
  </si>
  <si>
    <t>Monthly Service Costs</t>
  </si>
  <si>
    <t xml:space="preserve">Most of the Heading should already be populated from the Summary Tab.  Enter the Enhancement Decision Unit number(s) in the heading (Cell B5).  Use a separate tab for each Enhancement Decision Unit.  </t>
  </si>
  <si>
    <r>
      <t xml:space="preserve">The same type of positions with the same </t>
    </r>
    <r>
      <rPr>
        <b/>
        <sz val="12"/>
        <rFont val="Times New Roman"/>
        <family val="1"/>
      </rPr>
      <t>start dates</t>
    </r>
    <r>
      <rPr>
        <sz val="12"/>
        <rFont val="Times New Roman"/>
        <family val="1"/>
      </rPr>
      <t xml:space="preserve"> are entered </t>
    </r>
    <r>
      <rPr>
        <b/>
        <sz val="12"/>
        <rFont val="Times New Roman"/>
        <family val="1"/>
      </rPr>
      <t>on the same line</t>
    </r>
    <r>
      <rPr>
        <sz val="12"/>
        <rFont val="Times New Roman"/>
        <family val="1"/>
      </rPr>
      <t xml:space="preserve">.  The same type of positions with </t>
    </r>
    <r>
      <rPr>
        <b/>
        <sz val="12"/>
        <rFont val="Times New Roman"/>
        <family val="1"/>
      </rPr>
      <t>different start dates</t>
    </r>
    <r>
      <rPr>
        <sz val="12"/>
        <rFont val="Times New Roman"/>
        <family val="1"/>
      </rPr>
      <t xml:space="preserve"> are entered </t>
    </r>
    <r>
      <rPr>
        <b/>
        <sz val="12"/>
        <rFont val="Times New Roman"/>
        <family val="1"/>
      </rPr>
      <t>on separate lines</t>
    </r>
    <r>
      <rPr>
        <sz val="12"/>
        <rFont val="Times New Roman"/>
        <family val="1"/>
      </rPr>
      <t>.</t>
    </r>
  </si>
  <si>
    <t>This spreadsheet is formatted for agencies that use standard use categories.  Indicate if expenses should be included in a special use category instead by entering the special use category number (Cell B6).</t>
  </si>
  <si>
    <t>Update the rate fields in purple if necessary.  Rates should be based upon rates included in NEBS.  Agency-specific rates need to be updated.</t>
  </si>
  <si>
    <t>Complete the Positions Needed (peach only) section of each Enhancement Decision Unit Template.  Make sure the position title(s) appear exactly as shown in NEBS.</t>
  </si>
  <si>
    <t>Step 5:  Finalize the Summary Tab for Items Not Budgeted</t>
  </si>
  <si>
    <t>Include any items not budgeted on the enhancement decision unit tabs.  Be sure to identify the item and the decision unit with which it is associated.</t>
  </si>
  <si>
    <t>If there are several items, copy the rows in peach and paste in additional rows.</t>
  </si>
  <si>
    <t>Total Cost of Enhancement Decision Units</t>
  </si>
  <si>
    <t>Summary of Enhancement Decision Unit Costs</t>
  </si>
  <si>
    <t>The Summary Template Tab should balance with the NEBS 210 Report for all the enhancement decision units listed.</t>
  </si>
  <si>
    <t>Ideally, the enhancement decision unit worksheet should balance with the corresponding enhancement decision unit in NEBS.  Other extra ordinary items, need to be included on the Summary Tab.</t>
  </si>
  <si>
    <t>First year SFY</t>
  </si>
  <si>
    <t>Second year SFY</t>
  </si>
  <si>
    <t>Displays as</t>
  </si>
  <si>
    <t>Yr 1 Start date</t>
  </si>
  <si>
    <t>Yr 2 Start date</t>
  </si>
  <si>
    <t>Current Biennium</t>
  </si>
  <si>
    <t>First day of next biennium:</t>
  </si>
  <si>
    <t>First day of 2nd SFY of the biennium:</t>
  </si>
  <si>
    <t>Last day of 2nd SFY of the biennium:</t>
  </si>
  <si>
    <t>First day of 1st SFY of the biennium:</t>
  </si>
  <si>
    <t>Last day of 1st SFY of the biennium:</t>
  </si>
  <si>
    <t>Show Position Cost - Use Summary (default)</t>
  </si>
  <si>
    <t>Annual Rate</t>
  </si>
  <si>
    <t>Monthly Rate</t>
  </si>
  <si>
    <t>Travel/Cell Phone</t>
  </si>
  <si>
    <t>Dates</t>
  </si>
  <si>
    <t>Rates</t>
  </si>
  <si>
    <t>CATEGORY 04/05 EQUIPMENT/FURNITURE</t>
  </si>
  <si>
    <t>TOTAL CATEGORY 04/05 EQUIPMENT/FURNITURE</t>
  </si>
  <si>
    <r>
      <t xml:space="preserve">Annual Salary
</t>
    </r>
    <r>
      <rPr>
        <i/>
        <sz val="10"/>
        <color indexed="8"/>
        <rFont val="Arial"/>
        <family val="2"/>
      </rPr>
      <t>(Linked to Example - NEBS 130 Download</t>
    </r>
    <r>
      <rPr>
        <i/>
        <sz val="8"/>
        <color indexed="8"/>
        <rFont val="Arial"/>
        <family val="2"/>
      </rPr>
      <t>)</t>
    </r>
  </si>
  <si>
    <r>
      <t xml:space="preserve">Annual Benefits
</t>
    </r>
    <r>
      <rPr>
        <i/>
        <sz val="10"/>
        <color indexed="8"/>
        <rFont val="Arial"/>
        <family val="2"/>
      </rPr>
      <t>(Linked to Example - NEBS 130 Download</t>
    </r>
    <r>
      <rPr>
        <i/>
        <sz val="8"/>
        <color indexed="8"/>
        <rFont val="Arial"/>
        <family val="2"/>
      </rPr>
      <t>)</t>
    </r>
  </si>
  <si>
    <r>
      <t>Annual Salary</t>
    </r>
    <r>
      <rPr>
        <i/>
        <sz val="10"/>
        <color indexed="8"/>
        <rFont val="Arial"/>
        <family val="2"/>
      </rPr>
      <t xml:space="preserve">
(Linked to Example - NEBS 130 Download)</t>
    </r>
  </si>
  <si>
    <r>
      <t>Annual Benefits</t>
    </r>
    <r>
      <rPr>
        <i/>
        <sz val="10"/>
        <color indexed="8"/>
        <rFont val="Arial"/>
        <family val="2"/>
      </rPr>
      <t xml:space="preserve">
(Linked to Example - NEBS 130 Download)</t>
    </r>
  </si>
  <si>
    <t>03 - In-State Travel</t>
  </si>
  <si>
    <r>
      <rPr>
        <b/>
        <i/>
        <sz val="10"/>
        <rFont val="Arial"/>
        <family val="2"/>
      </rPr>
      <t>Secretarial Office Furniture 'Entire Unit</t>
    </r>
    <r>
      <rPr>
        <i/>
        <sz val="10"/>
        <rFont val="Arial"/>
        <family val="2"/>
      </rPr>
      <t xml:space="preserve">'; 
Cubicle or desk credenza, chair, 4 drwr filing cabinet, wastebasket, bookcase, &amp; workstation  - </t>
    </r>
    <r>
      <rPr>
        <b/>
        <i/>
        <sz val="10"/>
        <rFont val="Arial"/>
        <family val="2"/>
      </rPr>
      <t>all but</t>
    </r>
    <r>
      <rPr>
        <i/>
        <sz val="10"/>
        <rFont val="Arial"/>
        <family val="2"/>
      </rPr>
      <t xml:space="preserve"> Chiefs/Deputies/Administrators  </t>
    </r>
  </si>
  <si>
    <r>
      <rPr>
        <b/>
        <i/>
        <sz val="10"/>
        <color theme="1"/>
        <rFont val="Arial"/>
        <family val="2"/>
      </rPr>
      <t>Telephone</t>
    </r>
    <r>
      <rPr>
        <i/>
        <sz val="10"/>
        <color theme="1"/>
        <rFont val="Arial"/>
        <family val="2"/>
      </rPr>
      <t xml:space="preserve"> (Budgeted in Cat 04-Operating)</t>
    </r>
  </si>
  <si>
    <r>
      <rPr>
        <b/>
        <i/>
        <sz val="10"/>
        <rFont val="Arial"/>
        <family val="2"/>
      </rPr>
      <t>Executive Office Furniture 'Entire Unit</t>
    </r>
    <r>
      <rPr>
        <i/>
        <sz val="10"/>
        <rFont val="Arial"/>
        <family val="2"/>
      </rPr>
      <t xml:space="preserve">'; 
Cubicle or desk credenza, chair, 4 drwr filing cabinet, wastebasket, bookcase, &amp; workstation  -  </t>
    </r>
    <r>
      <rPr>
        <b/>
        <i/>
        <sz val="10"/>
        <rFont val="Arial"/>
        <family val="2"/>
      </rPr>
      <t>Only</t>
    </r>
    <r>
      <rPr>
        <i/>
        <sz val="10"/>
        <rFont val="Arial"/>
        <family val="2"/>
      </rPr>
      <t xml:space="preserve"> Chiefs/Deputies/Administrators  </t>
    </r>
  </si>
  <si>
    <r>
      <t xml:space="preserve">Note:  </t>
    </r>
    <r>
      <rPr>
        <sz val="12"/>
        <rFont val="Times New Roman"/>
        <family val="1"/>
      </rPr>
      <t>It might be easier to print these instructions before you get started and check off tasks as they're completed.  This spreadsheet looks more difficult than it is - review the example tabs if you have problems.  Most of the fields are password protected.  Notify your assigned budget analyst if there are any formula or other issues with this document.</t>
    </r>
  </si>
  <si>
    <t>Department:</t>
  </si>
  <si>
    <t>Agency:</t>
  </si>
  <si>
    <t>Budget Title:</t>
  </si>
  <si>
    <t>Budget Account #:</t>
  </si>
  <si>
    <t>Decision Unit :</t>
  </si>
  <si>
    <t>New Position Checklist</t>
  </si>
  <si>
    <t>Category 01-Personnel Services</t>
  </si>
  <si>
    <t>Start date is October 1</t>
  </si>
  <si>
    <t>Category 02 &amp; 03-Out of State &amp; In-State Travel</t>
  </si>
  <si>
    <t xml:space="preserve">Out of state travel required? </t>
  </si>
  <si>
    <t xml:space="preserve"> </t>
  </si>
  <si>
    <t>In-state travel required?</t>
  </si>
  <si>
    <t>Fleet services required?</t>
  </si>
  <si>
    <t>Category 04-Operating</t>
  </si>
  <si>
    <t>GL 7110-Is additional space required?</t>
  </si>
  <si>
    <t>Amount of space on title of position - (B&amp;G standards)</t>
  </si>
  <si>
    <t>Associated operating costs based on a per FTE basis - generallly these are:</t>
  </si>
  <si>
    <t>GL 7020-Operating Supplies</t>
  </si>
  <si>
    <t>GL 7040-Non-state Printing Services</t>
  </si>
  <si>
    <t>GL 7045-State Printing Services</t>
  </si>
  <si>
    <t>GL 7285-Postage</t>
  </si>
  <si>
    <t>GL 7291-Cell Phone</t>
  </si>
  <si>
    <t>GL 7280-Operating Lease</t>
  </si>
  <si>
    <t>GL 8241-Secretarial Office Furniture Unit</t>
  </si>
  <si>
    <t>GL8241-Executive Office Furniture Unit for Division Head/Deputy/Chief position</t>
  </si>
  <si>
    <t>Category 26-Information Services</t>
  </si>
  <si>
    <t>GL 8371-Desktop computer or laptop</t>
  </si>
  <si>
    <t>GL 8371-2nd computer monitor (with desktop)</t>
  </si>
  <si>
    <t>GL 8371-Laptop docking station (with laptop)</t>
  </si>
  <si>
    <t>GL 8371-Hardware - surge protector</t>
  </si>
  <si>
    <t>GL 7771-Software - Microsoft Office</t>
  </si>
  <si>
    <t>GL 7533-Email Services - EITS schedule</t>
  </si>
  <si>
    <t>GL 7460 Equipment under $1,000 (i.e. telephone) - Equipment schedule</t>
  </si>
  <si>
    <t>GL 7050-Employee Bond - Payroll schedule</t>
  </si>
  <si>
    <t>GL 7054-AG tort - Payroll schedule</t>
  </si>
  <si>
    <t>Category 05-Equipment (Equipment schedule)</t>
  </si>
  <si>
    <t>EITS services (EITS schedule)</t>
  </si>
  <si>
    <t>Items to be considered for new position; not all items will be added nor is list all-inclusive</t>
  </si>
  <si>
    <t>Operating Lease Payment</t>
  </si>
  <si>
    <t>Step  - various</t>
  </si>
  <si>
    <t>Retirement code - 1</t>
  </si>
  <si>
    <t>If position is required to wear a uniform, work with your Executive Branch Budget Officer</t>
  </si>
  <si>
    <t>Phone Line &amp; Voice Mail</t>
  </si>
  <si>
    <t>Telephone</t>
  </si>
  <si>
    <t xml:space="preserve">provide quote </t>
  </si>
  <si>
    <t>2019-2021 Biennium (FY20-21)</t>
  </si>
  <si>
    <t>W01 NEW POSITION EXAMPLE</t>
  </si>
  <si>
    <t>000045</t>
  </si>
  <si>
    <t>40-4</t>
  </si>
  <si>
    <t>10-2019</t>
  </si>
  <si>
    <t>6-2021</t>
  </si>
  <si>
    <t>1</t>
  </si>
  <si>
    <t>BUDGET ANALYST 1</t>
  </si>
  <si>
    <t>000046</t>
  </si>
  <si>
    <t>07627</t>
  </si>
  <si>
    <t>34-1</t>
  </si>
  <si>
    <t>GL 7289- Phone Line &amp; Voice mail - EITS schedule</t>
  </si>
  <si>
    <t>Date: 3/14/18 1:58 PM</t>
  </si>
  <si>
    <t>Budget Period: 2019-2021 Biennium (FY20-21)</t>
  </si>
  <si>
    <t>Version: A00 AGENCY REQUEST AS SUBMITTED</t>
  </si>
  <si>
    <t>Function: 035 HEALTH AND HUMAN SERVICES</t>
  </si>
  <si>
    <t>Assigned Analyst: ouellett</t>
  </si>
  <si>
    <t>EBOLA VIRUS ACTIVITIES</t>
  </si>
  <si>
    <t>ZIKA PREPAREDNESS &amp; RESPONSE</t>
  </si>
  <si>
    <t>HPP EBOLA PREP &amp; RESP ACT</t>
  </si>
  <si>
    <t>PRINTING AND COPYING - C</t>
  </si>
  <si>
    <t>EITS 18-19 ELIM (OLD EITS VOICEMAIL)</t>
  </si>
  <si>
    <t>EITS 18-19 ELIM (OLD EITS STATE PHONE LINE)</t>
  </si>
  <si>
    <t>SOURCE OF FUNDS ADJ</t>
  </si>
  <si>
    <t>EITS PHONE LINE AND VOICEMAIL</t>
  </si>
  <si>
    <t>EITS 18-19 ELIM (OLD EITS VPN SECURE LINK)</t>
  </si>
  <si>
    <t>LEGAL AND COURT</t>
  </si>
  <si>
    <t>FS DAILY RENTAL OUT-OF-STATE</t>
  </si>
  <si>
    <t>COMM AIR TRANS IN-STATE-A</t>
  </si>
  <si>
    <t>QUICK PRINT JOBS - CARSON CITY</t>
  </si>
  <si>
    <t>GASOLINE</t>
  </si>
  <si>
    <t>VEHICLE REPAIR &amp; REPLACEMENT PARTS</t>
  </si>
  <si>
    <t>PROTECTIVE GEAR</t>
  </si>
  <si>
    <t>STIPENDS</t>
  </si>
  <si>
    <t>PROFESSIONAL SERVICES</t>
  </si>
  <si>
    <t>EQUIP &gt; $1,000 LESS THAN $5,000 - A</t>
  </si>
  <si>
    <t>EITS 18-19 ELIM (OLD EITS DISK STORAGE)</t>
  </si>
  <si>
    <t>EITS DISK STORAGE</t>
  </si>
  <si>
    <t>EITS SHARED WEB SERVER HOSTING</t>
  </si>
  <si>
    <t>EITS VIRTUAL SERVER HOSTING</t>
  </si>
  <si>
    <t>EITS 18-19 ELIM (OLD EITS VIRTUAL SERVER)</t>
  </si>
  <si>
    <t>AID TO GOVERNMENTAL UNITS - K</t>
  </si>
  <si>
    <t>HIGHER EDUCATION INSTITUTES</t>
  </si>
  <si>
    <t>TRANS TO EMERGENCY MGMT</t>
  </si>
  <si>
    <t>AID TO GOVERNMENTAL UNITS-M</t>
  </si>
  <si>
    <t>010 3500 100%</t>
  </si>
  <si>
    <t>7-2020</t>
  </si>
  <si>
    <t xml:space="preserve">Total Estimated Cost </t>
  </si>
  <si>
    <t>Note:  A medium duty printer is only added once the number of positions equals 15 or greater.</t>
  </si>
  <si>
    <r>
      <rPr>
        <b/>
        <sz val="12"/>
        <rFont val="Times New Roman"/>
        <family val="1"/>
      </rPr>
      <t>Note:</t>
    </r>
    <r>
      <rPr>
        <sz val="12"/>
        <rFont val="Times New Roman"/>
        <family val="1"/>
      </rPr>
      <t xml:space="preserve">  If more templates are needed, a decision unit template tab can be copied to a blank worksheet.  However, the fiscal year total formulas in the summary tab will need to be modified to include the additional worksheet(s).</t>
    </r>
  </si>
  <si>
    <t>Step 1:  Download FY 18 &amp; FY 19 Biennium Actuals (once FY 18 is finalized)</t>
  </si>
  <si>
    <t>CATEGORY 03 IN-STATE TRAVEL (LIST ALL CATEGORIES IF THESE COSTS ARE DISTRIBUTED AMONG VARIOUS SPECIAL USE CATEGORIES)</t>
  </si>
  <si>
    <t xml:space="preserve">CATEGORY 04 OPERATING (LIST ALL CATEGORIES IF BASE YEAR COSTS ARE DISTRIBUTED AMONG SPECIAL USE CATEGORIES)
</t>
  </si>
  <si>
    <t>EITS Phone Line &amp; Voice Mail</t>
  </si>
  <si>
    <t xml:space="preserve">Cell Phone </t>
  </si>
  <si>
    <t>CATEGORY 05 EQUIPMENT/FURNITURE</t>
  </si>
  <si>
    <t>82 - Indirect Costs</t>
  </si>
  <si>
    <t>40/04</t>
  </si>
  <si>
    <t>34/01</t>
  </si>
  <si>
    <t>Computer equipment - only added in the year the FTE is added (Equipment schedule):</t>
  </si>
  <si>
    <r>
      <t>Go to the NEBS 130 Template Tab (</t>
    </r>
    <r>
      <rPr>
        <sz val="12"/>
        <color rgb="FF00B0F0"/>
        <rFont val="Times New Roman"/>
        <family val="1"/>
      </rPr>
      <t>second blue tab</t>
    </r>
    <r>
      <rPr>
        <sz val="12"/>
        <rFont val="Times New Roman"/>
        <family val="1"/>
      </rPr>
      <t>) and select the upper right hand corner of this worksheet, right click and select Paste.</t>
    </r>
  </si>
  <si>
    <r>
      <t>Go to the NEBS Actuals Template Tab (</t>
    </r>
    <r>
      <rPr>
        <sz val="12"/>
        <color rgb="FF00B0F0"/>
        <rFont val="Times New Roman"/>
        <family val="1"/>
      </rPr>
      <t>first blue tab</t>
    </r>
    <r>
      <rPr>
        <sz val="12"/>
        <rFont val="Times New Roman"/>
        <family val="1"/>
      </rPr>
      <t>) and select the upper right hand corner of this worksheet, right click and select Paste.</t>
    </r>
  </si>
  <si>
    <t>Enter the number of positions requested for each Enhancement Decision Unit (Cell B8)</t>
  </si>
  <si>
    <t>Budget Analyst 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</si>
</sst>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quot;$&quot;#,##0\)"/>
    <numFmt numFmtId="167" formatCode="0.0%"/>
    <numFmt numFmtId="168" formatCode="m/d/yy;@"/>
    <numFmt numFmtId="169" formatCode="###,###,###,##0.00"/>
    <numFmt numFmtId="170" formatCode="###,###,###,##0"/>
    <numFmt numFmtId="171" formatCode="&quot;$&quot;#,##0"/>
    <numFmt numFmtId="172" formatCode="0_);\(0\)"/>
    <numFmt numFmtId="173" formatCode="mm/dd/yy;@"/>
    <numFmt numFmtId="174" formatCode="00.000"/>
  </numFmts>
  <fonts count="56" x14ac:knownFonts="1">
    <font>
      <sz val="11"/>
      <color theme="1"/>
      <name val="Calibri"/>
      <family val="2"/>
      <scheme val="minor"/>
    </font>
    <font>
      <b/>
      <sz val="10"/>
      <name val="Arial"/>
      <family val="2"/>
    </font>
    <font>
      <i/>
      <sz val="10"/>
      <name val="Arial"/>
      <family val="2"/>
    </font>
    <font>
      <b/>
      <i/>
      <sz val="10"/>
      <name val="Arial"/>
      <family val="2"/>
    </font>
    <font>
      <b/>
      <i/>
      <sz val="9.5"/>
      <name val="Arial"/>
      <family val="2"/>
    </font>
    <font>
      <i/>
      <sz val="9.5"/>
      <name val="Arial"/>
      <family val="2"/>
    </font>
    <font>
      <sz val="10"/>
      <name val="Arial"/>
      <family val="2"/>
    </font>
    <font>
      <sz val="10"/>
      <name val="Helv"/>
    </font>
    <font>
      <sz val="12"/>
      <name val="Times New Roman"/>
      <family val="1"/>
    </font>
    <font>
      <b/>
      <i/>
      <sz val="10"/>
      <color indexed="8"/>
      <name val="Arial"/>
      <family val="2"/>
    </font>
    <font>
      <b/>
      <i/>
      <sz val="10"/>
      <color indexed="10"/>
      <name val="Arial"/>
      <family val="2"/>
    </font>
    <font>
      <i/>
      <sz val="8"/>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i/>
      <sz val="10"/>
      <color theme="1"/>
      <name val="Arial"/>
      <family val="2"/>
    </font>
    <font>
      <i/>
      <sz val="9.25"/>
      <color theme="1"/>
      <name val="Arial"/>
      <family val="2"/>
    </font>
    <font>
      <i/>
      <sz val="8.5"/>
      <color theme="1"/>
      <name val="Arial"/>
      <family val="2"/>
    </font>
    <font>
      <b/>
      <sz val="10"/>
      <color theme="1"/>
      <name val="Arial"/>
      <family val="2"/>
    </font>
    <font>
      <b/>
      <i/>
      <sz val="10"/>
      <color rgb="FFFF0000"/>
      <name val="Arial"/>
      <family val="2"/>
    </font>
    <font>
      <i/>
      <sz val="10"/>
      <color theme="1"/>
      <name val="Arial"/>
      <family val="2"/>
    </font>
    <font>
      <sz val="10"/>
      <color theme="1"/>
      <name val="Calibri"/>
      <family val="2"/>
      <scheme val="minor"/>
    </font>
    <font>
      <i/>
      <sz val="10"/>
      <color rgb="FFFF0000"/>
      <name val="Arial"/>
      <family val="2"/>
    </font>
    <font>
      <b/>
      <i/>
      <sz val="8"/>
      <color theme="1"/>
      <name val="Arial"/>
      <family val="2"/>
    </font>
    <font>
      <b/>
      <i/>
      <sz val="8"/>
      <color rgb="FFFF0000"/>
      <name val="Arial"/>
      <family val="2"/>
    </font>
    <font>
      <sz val="10"/>
      <name val="Times New Roman"/>
      <family val="1"/>
    </font>
    <font>
      <i/>
      <sz val="10"/>
      <color indexed="8"/>
      <name val="Arial"/>
      <family val="2"/>
    </font>
    <font>
      <b/>
      <sz val="12"/>
      <name val="Times New Roman"/>
      <family val="1"/>
    </font>
    <font>
      <b/>
      <i/>
      <sz val="11"/>
      <color theme="1"/>
      <name val="Calibri"/>
      <family val="2"/>
      <scheme val="minor"/>
    </font>
    <font>
      <sz val="10"/>
      <name val="Arial"/>
    </font>
    <font>
      <sz val="12"/>
      <name val="Arial"/>
    </font>
    <font>
      <b/>
      <sz val="12"/>
      <name val="Arial"/>
    </font>
    <font>
      <sz val="9"/>
      <name val="Arial"/>
    </font>
    <font>
      <b/>
      <sz val="9"/>
      <name val="Arial"/>
      <family val="2"/>
    </font>
    <font>
      <b/>
      <sz val="11"/>
      <name val="Arial"/>
      <family val="2"/>
    </font>
    <font>
      <sz val="9"/>
      <name val="Arial"/>
      <family val="2"/>
    </font>
    <font>
      <b/>
      <sz val="9"/>
      <color indexed="9"/>
      <name val="Arial"/>
      <family val="2"/>
    </font>
    <font>
      <b/>
      <i/>
      <sz val="9"/>
      <name val="Arial"/>
      <family val="2"/>
    </font>
    <font>
      <sz val="12"/>
      <color theme="1"/>
      <name val="Calibri"/>
      <family val="2"/>
      <scheme val="minor"/>
    </font>
    <font>
      <b/>
      <sz val="12"/>
      <color theme="1"/>
      <name val="Calibri"/>
      <family val="2"/>
      <scheme val="minor"/>
    </font>
    <font>
      <sz val="11"/>
      <name val="Calibri"/>
      <family val="2"/>
      <scheme val="minor"/>
    </font>
    <font>
      <sz val="12"/>
      <color rgb="FF00B0F0"/>
      <name val="Times New Roman"/>
      <family val="1"/>
    </font>
  </fonts>
  <fills count="4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gray125">
        <bgColor theme="4" tint="0.79998168889431442"/>
      </patternFill>
    </fill>
    <fill>
      <patternFill patternType="gray125">
        <bgColor theme="6" tint="0.79998168889431442"/>
      </patternFill>
    </fill>
    <fill>
      <patternFill patternType="solid">
        <fgColor theme="6" tint="0.7999511703848384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gray125">
        <bgColor theme="0"/>
      </patternFill>
    </fill>
    <fill>
      <patternFill patternType="solid">
        <fgColor rgb="FFFFFF00"/>
        <bgColor indexed="64"/>
      </patternFill>
    </fill>
    <fill>
      <patternFill patternType="solid">
        <fgColor indexed="62"/>
        <bgColor indexed="64"/>
      </patternFill>
    </fill>
    <fill>
      <patternFill patternType="solid">
        <fgColor indexed="41"/>
        <bgColor indexed="64"/>
      </patternFill>
    </fill>
  </fills>
  <borders count="8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medium">
        <color indexed="64"/>
      </left>
      <right/>
      <top style="hair">
        <color indexed="64"/>
      </top>
      <bottom style="thin">
        <color indexed="64"/>
      </bottom>
      <diagonal/>
    </border>
  </borders>
  <cellStyleXfs count="7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39" applyNumberFormat="0" applyAlignment="0" applyProtection="0"/>
    <xf numFmtId="0" fontId="16" fillId="28" borderId="40" applyNumberFormat="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9" fontId="6" fillId="0" borderId="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0" fontId="7" fillId="0" borderId="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0" fontId="17" fillId="0" borderId="0" applyNumberFormat="0" applyFill="0" applyBorder="0" applyAlignment="0" applyProtection="0"/>
    <xf numFmtId="2" fontId="6" fillId="0" borderId="0" applyFont="0" applyFill="0" applyBorder="0" applyAlignment="0" applyProtection="0"/>
    <xf numFmtId="0" fontId="18" fillId="29" borderId="0" applyNumberFormat="0" applyBorder="0" applyAlignment="0" applyProtection="0"/>
    <xf numFmtId="0" fontId="19" fillId="0" borderId="41" applyNumberFormat="0" applyFill="0" applyAlignment="0" applyProtection="0"/>
    <xf numFmtId="0" fontId="20" fillId="0" borderId="42" applyNumberFormat="0" applyFill="0" applyAlignment="0" applyProtection="0"/>
    <xf numFmtId="0" fontId="21" fillId="0" borderId="43" applyNumberFormat="0" applyFill="0" applyAlignment="0" applyProtection="0"/>
    <xf numFmtId="0" fontId="21" fillId="0" borderId="0" applyNumberFormat="0" applyFill="0" applyBorder="0" applyAlignment="0" applyProtection="0"/>
    <xf numFmtId="0" fontId="22" fillId="30" borderId="39" applyNumberFormat="0" applyAlignment="0" applyProtection="0"/>
    <xf numFmtId="0" fontId="23" fillId="0" borderId="44" applyNumberFormat="0" applyFill="0" applyAlignment="0" applyProtection="0"/>
    <xf numFmtId="0" fontId="24" fillId="31" borderId="0" applyNumberFormat="0" applyBorder="0" applyAlignment="0" applyProtection="0"/>
    <xf numFmtId="49" fontId="1" fillId="0" borderId="1">
      <alignment horizontal="center" vertical="center"/>
    </xf>
    <xf numFmtId="49" fontId="1" fillId="0" borderId="2">
      <alignment horizontal="center" vertical="center"/>
    </xf>
    <xf numFmtId="0" fontId="8" fillId="0" borderId="3" applyNumberFormat="0" applyFont="0" applyFill="0" applyAlignment="0">
      <alignment horizontal="left" vertical="top" wrapText="1"/>
    </xf>
    <xf numFmtId="0" fontId="6" fillId="0" borderId="0"/>
    <xf numFmtId="0" fontId="6" fillId="0" borderId="0"/>
    <xf numFmtId="0" fontId="12" fillId="0" borderId="0"/>
    <xf numFmtId="0" fontId="12" fillId="0" borderId="0"/>
    <xf numFmtId="0" fontId="6" fillId="0" borderId="0"/>
    <xf numFmtId="0" fontId="12" fillId="32" borderId="45" applyNumberFormat="0" applyFont="0" applyAlignment="0" applyProtection="0"/>
    <xf numFmtId="0" fontId="25" fillId="27" borderId="46" applyNumberFormat="0" applyAlignment="0" applyProtection="0"/>
    <xf numFmtId="9" fontId="12" fillId="0" borderId="0" applyFont="0" applyFill="0" applyBorder="0" applyAlignment="0" applyProtection="0"/>
    <xf numFmtId="0" fontId="6" fillId="0" borderId="0" applyNumberFormat="0" applyFont="0" applyFill="0" applyBorder="0" applyAlignment="0" applyProtection="0"/>
    <xf numFmtId="0" fontId="7" fillId="0" borderId="0"/>
    <xf numFmtId="0" fontId="26" fillId="0" borderId="0" applyNumberFormat="0" applyFill="0" applyBorder="0" applyAlignment="0" applyProtection="0"/>
    <xf numFmtId="0" fontId="27" fillId="0" borderId="47" applyNumberFormat="0" applyFill="0" applyAlignment="0" applyProtection="0"/>
    <xf numFmtId="0" fontId="28" fillId="0" borderId="0" applyNumberFormat="0" applyFill="0" applyBorder="0" applyAlignment="0" applyProtection="0"/>
    <xf numFmtId="0" fontId="39" fillId="0" borderId="0"/>
    <xf numFmtId="43" fontId="39"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4" fontId="12" fillId="0" borderId="0" applyFont="0" applyFill="0" applyBorder="0" applyAlignment="0" applyProtection="0"/>
    <xf numFmtId="0" fontId="39" fillId="0" borderId="0"/>
    <xf numFmtId="0" fontId="6" fillId="0" borderId="0"/>
    <xf numFmtId="9" fontId="6" fillId="0" borderId="0" applyFont="0" applyFill="0" applyBorder="0" applyAlignment="0" applyProtection="0"/>
    <xf numFmtId="0" fontId="39" fillId="0" borderId="0"/>
    <xf numFmtId="0" fontId="43" fillId="0" borderId="0"/>
    <xf numFmtId="0" fontId="43" fillId="0" borderId="0"/>
    <xf numFmtId="0" fontId="43" fillId="0" borderId="0"/>
    <xf numFmtId="0" fontId="6" fillId="0" borderId="0"/>
  </cellStyleXfs>
  <cellXfs count="579">
    <xf numFmtId="0" fontId="0" fillId="0" borderId="0" xfId="0"/>
    <xf numFmtId="0" fontId="0" fillId="0" borderId="0" xfId="0" applyProtection="1"/>
    <xf numFmtId="0" fontId="29" fillId="0" borderId="0" xfId="0" applyFont="1" applyAlignment="1" applyProtection="1">
      <alignment horizontal="left" wrapText="1"/>
    </xf>
    <xf numFmtId="0" fontId="29" fillId="0" borderId="0" xfId="0" applyFont="1" applyFill="1" applyAlignment="1" applyProtection="1">
      <alignment horizontal="left" wrapText="1"/>
    </xf>
    <xf numFmtId="0" fontId="33" fillId="0" borderId="0" xfId="0" applyFont="1" applyFill="1" applyAlignment="1" applyProtection="1"/>
    <xf numFmtId="0" fontId="29" fillId="34" borderId="8" xfId="0" applyFont="1" applyFill="1" applyBorder="1" applyAlignment="1" applyProtection="1">
      <alignment horizontal="center" wrapText="1"/>
    </xf>
    <xf numFmtId="0" fontId="29" fillId="35" borderId="9" xfId="0" applyFont="1" applyFill="1" applyBorder="1" applyAlignment="1" applyProtection="1">
      <alignment horizontal="center" wrapText="1"/>
    </xf>
    <xf numFmtId="0" fontId="34" fillId="0" borderId="0" xfId="0" applyFont="1" applyProtection="1"/>
    <xf numFmtId="0" fontId="29" fillId="0" borderId="0" xfId="0" applyFont="1" applyFill="1" applyAlignment="1" applyProtection="1">
      <alignment horizontal="left"/>
    </xf>
    <xf numFmtId="0" fontId="3" fillId="0" borderId="0" xfId="0" applyFont="1" applyFill="1" applyAlignment="1" applyProtection="1">
      <alignment horizontal="left"/>
    </xf>
    <xf numFmtId="0" fontId="3" fillId="33" borderId="0" xfId="0" applyFont="1" applyFill="1" applyAlignment="1" applyProtection="1">
      <alignment horizontal="left"/>
    </xf>
    <xf numFmtId="0" fontId="3" fillId="33" borderId="12" xfId="0" applyFont="1" applyFill="1" applyBorder="1" applyAlignment="1" applyProtection="1">
      <alignment horizontal="left"/>
    </xf>
    <xf numFmtId="0" fontId="3" fillId="33" borderId="0" xfId="0" applyFont="1" applyFill="1" applyBorder="1" applyAlignment="1" applyProtection="1">
      <alignment horizontal="left"/>
    </xf>
    <xf numFmtId="0" fontId="3" fillId="33" borderId="15" xfId="0" applyFont="1" applyFill="1" applyBorder="1" applyAlignment="1" applyProtection="1">
      <alignment horizontal="left"/>
    </xf>
    <xf numFmtId="0" fontId="3" fillId="33" borderId="16" xfId="0" applyFont="1" applyFill="1" applyBorder="1" applyAlignment="1" applyProtection="1">
      <alignment horizontal="left"/>
      <protection locked="0"/>
    </xf>
    <xf numFmtId="0" fontId="0" fillId="0" borderId="0" xfId="0" applyProtection="1">
      <protection locked="0"/>
    </xf>
    <xf numFmtId="164" fontId="3" fillId="34" borderId="17" xfId="35" applyNumberFormat="1" applyFont="1" applyFill="1" applyBorder="1" applyAlignment="1" applyProtection="1">
      <alignment horizontal="right" wrapText="1"/>
    </xf>
    <xf numFmtId="164" fontId="3" fillId="35" borderId="18" xfId="35" applyNumberFormat="1" applyFont="1" applyFill="1" applyBorder="1" applyAlignment="1" applyProtection="1">
      <alignment horizontal="right" wrapText="1"/>
    </xf>
    <xf numFmtId="0" fontId="34" fillId="0" borderId="0" xfId="0" applyFont="1"/>
    <xf numFmtId="49" fontId="34" fillId="0" borderId="0" xfId="0" applyNumberFormat="1" applyFont="1"/>
    <xf numFmtId="49" fontId="34" fillId="33" borderId="21" xfId="0" applyNumberFormat="1" applyFont="1" applyFill="1" applyBorder="1" applyAlignment="1" applyProtection="1">
      <alignment horizontal="center" wrapText="1"/>
      <protection locked="0"/>
    </xf>
    <xf numFmtId="49" fontId="34" fillId="33" borderId="27" xfId="0" applyNumberFormat="1" applyFont="1" applyFill="1" applyBorder="1" applyAlignment="1" applyProtection="1">
      <alignment horizontal="center" wrapText="1"/>
      <protection locked="0"/>
    </xf>
    <xf numFmtId="0" fontId="0" fillId="0" borderId="0" xfId="0" applyProtection="1"/>
    <xf numFmtId="0" fontId="34" fillId="0" borderId="0" xfId="0" applyFont="1" applyProtection="1"/>
    <xf numFmtId="0" fontId="29" fillId="0" borderId="0" xfId="0" applyFont="1" applyAlignment="1" applyProtection="1">
      <alignment horizontal="left"/>
    </xf>
    <xf numFmtId="0" fontId="29" fillId="0" borderId="0" xfId="0" applyFont="1" applyAlignment="1" applyProtection="1"/>
    <xf numFmtId="0" fontId="29" fillId="0" borderId="0" xfId="0" applyFont="1" applyAlignment="1">
      <alignment horizontal="left"/>
    </xf>
    <xf numFmtId="0" fontId="29" fillId="0" borderId="0" xfId="0" applyFont="1" applyFill="1" applyBorder="1" applyAlignment="1">
      <alignment horizontal="center" wrapText="1"/>
    </xf>
    <xf numFmtId="3" fontId="0" fillId="0" borderId="0" xfId="0" applyNumberFormat="1"/>
    <xf numFmtId="0" fontId="29" fillId="0" borderId="33" xfId="0" applyFont="1" applyBorder="1" applyAlignment="1">
      <alignment horizontal="left"/>
    </xf>
    <xf numFmtId="41" fontId="29" fillId="34" borderId="55" xfId="28" applyNumberFormat="1" applyFont="1" applyFill="1" applyBorder="1" applyAlignment="1" applyProtection="1">
      <alignment horizontal="right" wrapText="1"/>
    </xf>
    <xf numFmtId="41" fontId="29" fillId="35" borderId="54" xfId="28" applyNumberFormat="1" applyFont="1" applyFill="1" applyBorder="1" applyAlignment="1" applyProtection="1">
      <alignment horizontal="right" wrapText="1"/>
    </xf>
    <xf numFmtId="41" fontId="29" fillId="34" borderId="4" xfId="28" applyNumberFormat="1" applyFont="1" applyFill="1" applyBorder="1" applyAlignment="1" applyProtection="1">
      <alignment horizontal="right" wrapText="1"/>
    </xf>
    <xf numFmtId="41" fontId="29" fillId="35" borderId="7" xfId="28" applyNumberFormat="1" applyFont="1" applyFill="1" applyBorder="1" applyAlignment="1" applyProtection="1">
      <alignment horizontal="right" wrapText="1"/>
    </xf>
    <xf numFmtId="41" fontId="29" fillId="33" borderId="4" xfId="28" applyNumberFormat="1" applyFont="1" applyFill="1" applyBorder="1" applyAlignment="1" applyProtection="1">
      <alignment horizontal="right" wrapText="1"/>
      <protection locked="0"/>
    </xf>
    <xf numFmtId="41" fontId="29" fillId="33" borderId="7" xfId="28" applyNumberFormat="1" applyFont="1" applyFill="1" applyBorder="1" applyAlignment="1" applyProtection="1">
      <alignment horizontal="right" wrapText="1"/>
      <protection locked="0"/>
    </xf>
    <xf numFmtId="41" fontId="3" fillId="33" borderId="13" xfId="28" applyNumberFormat="1" applyFont="1" applyFill="1" applyBorder="1" applyAlignment="1" applyProtection="1">
      <alignment horizontal="right" wrapText="1"/>
    </xf>
    <xf numFmtId="41" fontId="3" fillId="33" borderId="14" xfId="28" applyNumberFormat="1" applyFont="1" applyFill="1" applyBorder="1" applyAlignment="1" applyProtection="1">
      <alignment horizontal="right" wrapText="1"/>
    </xf>
    <xf numFmtId="41" fontId="3" fillId="33" borderId="4" xfId="28" applyNumberFormat="1" applyFont="1" applyFill="1" applyBorder="1" applyAlignment="1" applyProtection="1">
      <alignment horizontal="right" wrapText="1"/>
      <protection locked="0"/>
    </xf>
    <xf numFmtId="41" fontId="3" fillId="33" borderId="7" xfId="28" applyNumberFormat="1" applyFont="1" applyFill="1" applyBorder="1" applyAlignment="1" applyProtection="1">
      <alignment horizontal="right" wrapText="1"/>
      <protection locked="0"/>
    </xf>
    <xf numFmtId="0" fontId="29" fillId="0" borderId="0" xfId="0" applyFont="1" applyAlignment="1">
      <alignment horizontal="left" wrapText="1"/>
    </xf>
    <xf numFmtId="0" fontId="29" fillId="40" borderId="0" xfId="0" applyFont="1" applyFill="1" applyAlignment="1">
      <alignment horizontal="left"/>
    </xf>
    <xf numFmtId="0" fontId="32" fillId="40" borderId="0" xfId="0" applyFont="1" applyFill="1" applyAlignment="1" applyProtection="1">
      <alignment horizontal="right"/>
    </xf>
    <xf numFmtId="0" fontId="32" fillId="39" borderId="0" xfId="0" applyFont="1" applyFill="1" applyAlignment="1" applyProtection="1">
      <alignment horizontal="right"/>
    </xf>
    <xf numFmtId="0" fontId="0" fillId="33" borderId="0" xfId="0" applyFill="1" applyProtection="1"/>
    <xf numFmtId="0" fontId="8" fillId="0" borderId="0" xfId="66" applyFont="1"/>
    <xf numFmtId="0" fontId="41" fillId="0" borderId="0" xfId="66" applyFont="1"/>
    <xf numFmtId="0" fontId="8" fillId="0" borderId="51" xfId="66" applyFont="1" applyBorder="1" applyAlignment="1">
      <alignment horizontal="center" vertical="top" wrapText="1"/>
    </xf>
    <xf numFmtId="0" fontId="8" fillId="0" borderId="0" xfId="66" applyFont="1" applyBorder="1" applyAlignment="1">
      <alignment vertical="center" wrapText="1"/>
    </xf>
    <xf numFmtId="0" fontId="41" fillId="0" borderId="0" xfId="66" applyFont="1" applyAlignment="1">
      <alignment horizontal="left" vertical="center"/>
    </xf>
    <xf numFmtId="0" fontId="8" fillId="0" borderId="0" xfId="66" applyFont="1" applyBorder="1" applyAlignment="1">
      <alignment horizontal="center" vertical="top" wrapText="1"/>
    </xf>
    <xf numFmtId="0" fontId="8" fillId="0" borderId="0" xfId="66" applyFont="1" applyAlignment="1">
      <alignment horizontal="left" wrapText="1"/>
    </xf>
    <xf numFmtId="0" fontId="8" fillId="0" borderId="0" xfId="66" applyFont="1" applyAlignment="1">
      <alignment wrapText="1"/>
    </xf>
    <xf numFmtId="0" fontId="41" fillId="0" borderId="0" xfId="66" applyFont="1" applyAlignment="1">
      <alignment horizontal="center" vertical="center"/>
    </xf>
    <xf numFmtId="0" fontId="41" fillId="0" borderId="0" xfId="66" applyFont="1" applyAlignment="1">
      <alignment horizontal="left" vertical="center" wrapText="1"/>
    </xf>
    <xf numFmtId="0" fontId="29" fillId="40" borderId="0" xfId="0" applyFont="1" applyFill="1" applyAlignment="1" applyProtection="1">
      <alignment horizontal="left"/>
    </xf>
    <xf numFmtId="0" fontId="3" fillId="40" borderId="0" xfId="0" applyFont="1" applyFill="1" applyAlignment="1" applyProtection="1">
      <alignment horizontal="left"/>
    </xf>
    <xf numFmtId="41" fontId="29" fillId="40" borderId="4" xfId="28" applyNumberFormat="1" applyFont="1" applyFill="1" applyBorder="1" applyAlignment="1" applyProtection="1">
      <alignment horizontal="right" wrapText="1"/>
    </xf>
    <xf numFmtId="41" fontId="29" fillId="40" borderId="7" xfId="28" applyNumberFormat="1" applyFont="1" applyFill="1" applyBorder="1" applyAlignment="1" applyProtection="1">
      <alignment horizontal="right" wrapText="1"/>
    </xf>
    <xf numFmtId="0" fontId="3" fillId="40" borderId="12" xfId="0" applyFont="1" applyFill="1" applyBorder="1" applyAlignment="1" applyProtection="1">
      <alignment horizontal="left"/>
    </xf>
    <xf numFmtId="0" fontId="3" fillId="40" borderId="0" xfId="0" applyFont="1" applyFill="1" applyBorder="1" applyAlignment="1" applyProtection="1">
      <alignment horizontal="left"/>
    </xf>
    <xf numFmtId="41" fontId="3" fillId="40" borderId="13" xfId="28" applyNumberFormat="1" applyFont="1" applyFill="1" applyBorder="1" applyAlignment="1" applyProtection="1">
      <alignment horizontal="right" wrapText="1"/>
    </xf>
    <xf numFmtId="41" fontId="3" fillId="40" borderId="14" xfId="28" applyNumberFormat="1" applyFont="1" applyFill="1" applyBorder="1" applyAlignment="1" applyProtection="1">
      <alignment horizontal="right" wrapText="1"/>
    </xf>
    <xf numFmtId="0" fontId="29" fillId="39" borderId="0" xfId="0" applyFont="1" applyFill="1" applyAlignment="1" applyProtection="1">
      <alignment horizontal="left"/>
    </xf>
    <xf numFmtId="0" fontId="41" fillId="44" borderId="0" xfId="66" applyFont="1" applyFill="1" applyAlignment="1">
      <alignment horizontal="left" vertical="center"/>
    </xf>
    <xf numFmtId="0" fontId="41" fillId="44" borderId="0" xfId="66" applyFont="1" applyFill="1" applyAlignment="1">
      <alignment horizontal="center" vertical="center"/>
    </xf>
    <xf numFmtId="0" fontId="41" fillId="44" borderId="0" xfId="66" applyFont="1" applyFill="1"/>
    <xf numFmtId="0" fontId="41" fillId="44" borderId="0" xfId="66" applyFont="1" applyFill="1" applyAlignment="1">
      <alignment vertical="center"/>
    </xf>
    <xf numFmtId="0" fontId="8" fillId="0" borderId="0" xfId="66" applyFont="1" applyAlignment="1">
      <alignment vertical="center"/>
    </xf>
    <xf numFmtId="0" fontId="34" fillId="33" borderId="21" xfId="0" applyNumberFormat="1" applyFont="1" applyFill="1" applyBorder="1" applyAlignment="1" applyProtection="1">
      <alignment horizontal="center" wrapText="1"/>
      <protection locked="0"/>
    </xf>
    <xf numFmtId="0" fontId="29" fillId="0" borderId="0" xfId="0" applyFont="1" applyAlignment="1" applyProtection="1">
      <protection locked="0"/>
    </xf>
    <xf numFmtId="0" fontId="29" fillId="0" borderId="0" xfId="0" applyFont="1" applyFill="1" applyAlignment="1" applyProtection="1">
      <alignment horizontal="left" wrapText="1"/>
      <protection locked="0"/>
    </xf>
    <xf numFmtId="0" fontId="33" fillId="0" borderId="0" xfId="0" applyFont="1" applyFill="1" applyAlignment="1" applyProtection="1">
      <protection locked="0"/>
    </xf>
    <xf numFmtId="0" fontId="29" fillId="0" borderId="0" xfId="0" applyFont="1" applyAlignment="1" applyProtection="1">
      <alignment horizontal="left" wrapText="1"/>
      <protection locked="0"/>
    </xf>
    <xf numFmtId="0" fontId="29" fillId="0" borderId="0" xfId="0" applyFont="1" applyFill="1" applyBorder="1" applyAlignment="1" applyProtection="1">
      <alignment horizontal="center" wrapText="1"/>
      <protection locked="0"/>
    </xf>
    <xf numFmtId="0" fontId="34" fillId="0" borderId="0" xfId="0" applyFont="1" applyProtection="1">
      <protection locked="0"/>
    </xf>
    <xf numFmtId="49" fontId="34" fillId="0" borderId="0" xfId="0" applyNumberFormat="1" applyFont="1" applyProtection="1">
      <protection locked="0"/>
    </xf>
    <xf numFmtId="0" fontId="29" fillId="0" borderId="0" xfId="0" applyFont="1" applyAlignment="1" applyProtection="1">
      <alignment horizontal="left"/>
      <protection locked="0"/>
    </xf>
    <xf numFmtId="0" fontId="32" fillId="40" borderId="0" xfId="0" applyFont="1" applyFill="1" applyAlignment="1" applyProtection="1">
      <alignment horizontal="right"/>
      <protection locked="0"/>
    </xf>
    <xf numFmtId="0" fontId="0" fillId="33" borderId="0" xfId="0" applyFill="1" applyProtection="1">
      <protection locked="0"/>
    </xf>
    <xf numFmtId="0" fontId="3" fillId="33" borderId="0" xfId="0" applyFont="1" applyFill="1" applyAlignment="1" applyProtection="1">
      <alignment horizontal="left"/>
      <protection locked="0"/>
    </xf>
    <xf numFmtId="0" fontId="3" fillId="33" borderId="12" xfId="0" applyFont="1" applyFill="1" applyBorder="1" applyAlignment="1" applyProtection="1">
      <alignment horizontal="left"/>
      <protection locked="0"/>
    </xf>
    <xf numFmtId="0" fontId="3" fillId="33" borderId="0" xfId="0" applyFont="1" applyFill="1" applyBorder="1" applyAlignment="1" applyProtection="1">
      <alignment horizontal="left"/>
      <protection locked="0"/>
    </xf>
    <xf numFmtId="41" fontId="3" fillId="33" borderId="13" xfId="28" applyNumberFormat="1" applyFont="1" applyFill="1" applyBorder="1" applyAlignment="1" applyProtection="1">
      <alignment horizontal="right" wrapText="1"/>
      <protection locked="0"/>
    </xf>
    <xf numFmtId="41" fontId="3" fillId="33" borderId="14" xfId="28" applyNumberFormat="1" applyFont="1" applyFill="1" applyBorder="1" applyAlignment="1" applyProtection="1">
      <alignment horizontal="right" wrapText="1"/>
      <protection locked="0"/>
    </xf>
    <xf numFmtId="0" fontId="3" fillId="33" borderId="15" xfId="0" applyFont="1" applyFill="1" applyBorder="1" applyAlignment="1" applyProtection="1">
      <alignment horizontal="left"/>
      <protection locked="0"/>
    </xf>
    <xf numFmtId="0" fontId="3" fillId="0" borderId="0" xfId="0" applyFont="1" applyFill="1" applyAlignment="1" applyProtection="1">
      <alignment horizontal="left"/>
      <protection locked="0"/>
    </xf>
    <xf numFmtId="0" fontId="34" fillId="0" borderId="0" xfId="0" applyFont="1" applyBorder="1" applyProtection="1">
      <protection locked="0"/>
    </xf>
    <xf numFmtId="0" fontId="29" fillId="0" borderId="0" xfId="0" applyFont="1" applyBorder="1" applyProtection="1">
      <protection locked="0"/>
    </xf>
    <xf numFmtId="173" fontId="34" fillId="0" borderId="0" xfId="0" applyNumberFormat="1" applyFont="1" applyBorder="1" applyProtection="1">
      <protection locked="0"/>
    </xf>
    <xf numFmtId="1" fontId="34" fillId="0" borderId="0" xfId="0" applyNumberFormat="1" applyFont="1" applyBorder="1" applyProtection="1">
      <protection locked="0"/>
    </xf>
    <xf numFmtId="14" fontId="34" fillId="33" borderId="29" xfId="0" applyNumberFormat="1" applyFont="1" applyFill="1" applyBorder="1" applyAlignment="1" applyProtection="1">
      <alignment horizontal="right" wrapText="1"/>
      <protection locked="0"/>
    </xf>
    <xf numFmtId="0" fontId="0" fillId="0" borderId="33" xfId="0" applyNumberFormat="1" applyBorder="1"/>
    <xf numFmtId="174" fontId="34" fillId="33" borderId="4" xfId="0" applyNumberFormat="1" applyFont="1" applyFill="1" applyBorder="1" applyAlignment="1" applyProtection="1">
      <alignment horizontal="center" wrapText="1"/>
      <protection locked="0"/>
    </xf>
    <xf numFmtId="42" fontId="34" fillId="42" borderId="27" xfId="28" applyNumberFormat="1" applyFont="1" applyFill="1" applyBorder="1" applyAlignment="1" applyProtection="1">
      <alignment horizontal="right" wrapText="1"/>
      <protection locked="0"/>
    </xf>
    <xf numFmtId="42" fontId="34" fillId="42" borderId="21" xfId="28" applyNumberFormat="1" applyFont="1" applyFill="1" applyBorder="1" applyAlignment="1" applyProtection="1">
      <alignment horizontal="right" wrapText="1"/>
      <protection locked="0"/>
    </xf>
    <xf numFmtId="42" fontId="34" fillId="42" borderId="4" xfId="28" applyNumberFormat="1" applyFont="1" applyFill="1" applyBorder="1" applyAlignment="1" applyProtection="1">
      <alignment horizontal="right" wrapText="1"/>
      <protection locked="0"/>
    </xf>
    <xf numFmtId="174" fontId="34" fillId="33" borderId="27" xfId="0" applyNumberFormat="1" applyFont="1" applyFill="1" applyBorder="1" applyAlignment="1" applyProtection="1">
      <alignment horizontal="center" wrapText="1"/>
      <protection locked="0"/>
    </xf>
    <xf numFmtId="0" fontId="29" fillId="0" borderId="1" xfId="0" applyFont="1" applyFill="1" applyBorder="1" applyAlignment="1" applyProtection="1">
      <alignment horizontal="center" wrapText="1"/>
      <protection locked="0"/>
    </xf>
    <xf numFmtId="42" fontId="2" fillId="42" borderId="21" xfId="0" applyNumberFormat="1" applyFont="1" applyFill="1" applyBorder="1" applyAlignment="1" applyProtection="1">
      <alignment horizontal="right" wrapText="1"/>
      <protection locked="0"/>
    </xf>
    <xf numFmtId="0" fontId="29" fillId="0" borderId="3" xfId="0" applyFont="1" applyFill="1" applyBorder="1" applyAlignment="1" applyProtection="1">
      <alignment horizontal="center" wrapText="1"/>
      <protection locked="0"/>
    </xf>
    <xf numFmtId="39" fontId="34" fillId="42" borderId="4" xfId="28" applyNumberFormat="1" applyFont="1" applyFill="1" applyBorder="1" applyAlignment="1" applyProtection="1">
      <alignment horizontal="right" wrapText="1"/>
      <protection locked="0"/>
    </xf>
    <xf numFmtId="0" fontId="29" fillId="0" borderId="19" xfId="0" applyFont="1" applyFill="1" applyBorder="1" applyAlignment="1" applyProtection="1">
      <alignment wrapText="1"/>
      <protection locked="0"/>
    </xf>
    <xf numFmtId="0" fontId="29" fillId="0" borderId="19" xfId="0" applyFont="1" applyBorder="1" applyAlignment="1" applyProtection="1">
      <alignment wrapText="1"/>
    </xf>
    <xf numFmtId="0" fontId="29" fillId="0" borderId="22" xfId="0" applyFont="1" applyBorder="1" applyAlignment="1" applyProtection="1">
      <alignment wrapText="1"/>
    </xf>
    <xf numFmtId="0" fontId="27" fillId="0" borderId="0" xfId="0" applyFont="1"/>
    <xf numFmtId="42" fontId="2" fillId="42" borderId="2" xfId="0" applyNumberFormat="1" applyFont="1" applyFill="1" applyBorder="1" applyAlignment="1" applyProtection="1">
      <alignment horizontal="right" wrapText="1"/>
      <protection locked="0"/>
    </xf>
    <xf numFmtId="41" fontId="34" fillId="42" borderId="26" xfId="0" applyNumberFormat="1" applyFont="1" applyFill="1" applyBorder="1" applyAlignment="1" applyProtection="1">
      <alignment horizontal="right" wrapText="1"/>
      <protection locked="0"/>
    </xf>
    <xf numFmtId="41" fontId="34" fillId="42" borderId="4" xfId="28" applyNumberFormat="1" applyFont="1" applyFill="1" applyBorder="1" applyAlignment="1" applyProtection="1">
      <alignment horizontal="right" wrapText="1"/>
      <protection locked="0"/>
    </xf>
    <xf numFmtId="42" fontId="34" fillId="42" borderId="4" xfId="0" applyNumberFormat="1" applyFont="1" applyFill="1" applyBorder="1" applyAlignment="1" applyProtection="1">
      <alignment horizontal="right" wrapText="1"/>
      <protection locked="0"/>
    </xf>
    <xf numFmtId="0" fontId="0" fillId="0" borderId="0" xfId="0"/>
    <xf numFmtId="0" fontId="29" fillId="34" borderId="8" xfId="0" applyFont="1" applyFill="1" applyBorder="1" applyAlignment="1" applyProtection="1">
      <alignment horizontal="center" wrapText="1"/>
    </xf>
    <xf numFmtId="0" fontId="29" fillId="35" borderId="9" xfId="0" applyFont="1" applyFill="1" applyBorder="1" applyAlignment="1" applyProtection="1">
      <alignment horizontal="center" wrapText="1"/>
    </xf>
    <xf numFmtId="0" fontId="34" fillId="0" borderId="0" xfId="0" applyFont="1" applyProtection="1"/>
    <xf numFmtId="164" fontId="3" fillId="34" borderId="17" xfId="35" applyNumberFormat="1" applyFont="1" applyFill="1" applyBorder="1" applyAlignment="1" applyProtection="1">
      <alignment horizontal="right" wrapText="1"/>
    </xf>
    <xf numFmtId="164" fontId="3" fillId="35" borderId="18" xfId="35" applyNumberFormat="1" applyFont="1" applyFill="1" applyBorder="1" applyAlignment="1" applyProtection="1">
      <alignment horizontal="right" wrapText="1"/>
    </xf>
    <xf numFmtId="0" fontId="34" fillId="33" borderId="21" xfId="0" applyFont="1" applyFill="1" applyBorder="1" applyAlignment="1" applyProtection="1">
      <alignment horizontal="left"/>
      <protection locked="0"/>
    </xf>
    <xf numFmtId="0" fontId="34" fillId="33" borderId="21" xfId="0" applyFont="1" applyFill="1" applyBorder="1" applyAlignment="1" applyProtection="1">
      <alignment horizontal="center" wrapText="1"/>
      <protection locked="0"/>
    </xf>
    <xf numFmtId="0" fontId="34" fillId="33" borderId="27" xfId="0" applyFont="1" applyFill="1" applyBorder="1" applyAlignment="1" applyProtection="1">
      <alignment horizontal="left"/>
      <protection locked="0"/>
    </xf>
    <xf numFmtId="0" fontId="34" fillId="33" borderId="27" xfId="0" applyFont="1" applyFill="1" applyBorder="1" applyAlignment="1" applyProtection="1">
      <alignment horizontal="center" wrapText="1"/>
      <protection locked="0"/>
    </xf>
    <xf numFmtId="0" fontId="34" fillId="33" borderId="4" xfId="0" applyFont="1" applyFill="1" applyBorder="1" applyAlignment="1" applyProtection="1">
      <alignment horizontal="left"/>
      <protection locked="0"/>
    </xf>
    <xf numFmtId="0" fontId="34" fillId="33" borderId="4" xfId="0" applyFont="1" applyFill="1" applyBorder="1" applyAlignment="1" applyProtection="1">
      <alignment horizontal="center" wrapText="1"/>
      <protection locked="0"/>
    </xf>
    <xf numFmtId="0" fontId="34" fillId="33" borderId="23" xfId="0" applyFont="1" applyFill="1" applyBorder="1" applyAlignment="1" applyProtection="1">
      <alignment horizontal="center" wrapText="1"/>
      <protection locked="0"/>
    </xf>
    <xf numFmtId="0" fontId="34" fillId="33" borderId="30" xfId="0" applyFont="1" applyFill="1" applyBorder="1" applyAlignment="1" applyProtection="1">
      <alignment horizontal="right" wrapText="1"/>
      <protection locked="0"/>
    </xf>
    <xf numFmtId="0" fontId="34" fillId="33" borderId="29" xfId="0" applyFont="1" applyFill="1" applyBorder="1" applyAlignment="1" applyProtection="1">
      <alignment horizontal="right" wrapText="1"/>
      <protection locked="0"/>
    </xf>
    <xf numFmtId="0" fontId="34" fillId="33" borderId="5" xfId="0" applyFont="1" applyFill="1" applyBorder="1" applyAlignment="1" applyProtection="1">
      <alignment horizontal="right" wrapText="1"/>
      <protection locked="0"/>
    </xf>
    <xf numFmtId="0" fontId="34" fillId="33" borderId="34" xfId="0" applyFont="1" applyFill="1" applyBorder="1" applyAlignment="1" applyProtection="1">
      <alignment horizontal="right" wrapText="1"/>
      <protection locked="0"/>
    </xf>
    <xf numFmtId="0" fontId="34" fillId="33" borderId="26" xfId="0" applyFont="1" applyFill="1" applyBorder="1" applyAlignment="1" applyProtection="1">
      <alignment horizontal="left"/>
      <protection locked="0"/>
    </xf>
    <xf numFmtId="0" fontId="34" fillId="33" borderId="30" xfId="0" applyFont="1" applyFill="1" applyBorder="1" applyAlignment="1" applyProtection="1">
      <alignment horizontal="center" wrapText="1"/>
      <protection locked="0"/>
    </xf>
    <xf numFmtId="0" fontId="34" fillId="33" borderId="29" xfId="0" applyFont="1" applyFill="1" applyBorder="1" applyAlignment="1" applyProtection="1">
      <alignment horizontal="center" wrapText="1"/>
      <protection locked="0"/>
    </xf>
    <xf numFmtId="0" fontId="34" fillId="33" borderId="5" xfId="0" applyFont="1" applyFill="1" applyBorder="1" applyAlignment="1" applyProtection="1">
      <alignment horizontal="center" wrapText="1"/>
      <protection locked="0"/>
    </xf>
    <xf numFmtId="0" fontId="34" fillId="33" borderId="34" xfId="0" applyFont="1" applyFill="1" applyBorder="1" applyAlignment="1" applyProtection="1">
      <alignment horizontal="center" wrapText="1"/>
      <protection locked="0"/>
    </xf>
    <xf numFmtId="169" fontId="0" fillId="0" borderId="0" xfId="0" applyNumberFormat="1"/>
    <xf numFmtId="170" fontId="0" fillId="0" borderId="0" xfId="0" applyNumberFormat="1"/>
    <xf numFmtId="0" fontId="8" fillId="0" borderId="0" xfId="66" applyFont="1"/>
    <xf numFmtId="0" fontId="8" fillId="0" borderId="51" xfId="66" applyFont="1" applyBorder="1" applyAlignment="1">
      <alignment horizontal="center" vertical="top" wrapText="1"/>
    </xf>
    <xf numFmtId="0" fontId="8" fillId="0" borderId="0" xfId="66" applyFont="1" applyBorder="1" applyAlignment="1">
      <alignment vertical="center" wrapText="1"/>
    </xf>
    <xf numFmtId="0" fontId="29" fillId="40" borderId="0" xfId="0" applyFont="1" applyFill="1" applyAlignment="1" applyProtection="1">
      <alignment horizontal="left"/>
    </xf>
    <xf numFmtId="0" fontId="32" fillId="42" borderId="0" xfId="0" applyFont="1" applyFill="1" applyAlignment="1" applyProtection="1">
      <alignment horizontal="right"/>
    </xf>
    <xf numFmtId="0" fontId="34" fillId="33" borderId="27" xfId="0" applyNumberFormat="1" applyFont="1" applyFill="1" applyBorder="1" applyAlignment="1" applyProtection="1">
      <alignment horizontal="center" wrapText="1"/>
      <protection locked="0"/>
    </xf>
    <xf numFmtId="0" fontId="34" fillId="33" borderId="4" xfId="0" applyNumberFormat="1" applyFont="1" applyFill="1" applyBorder="1" applyAlignment="1" applyProtection="1">
      <alignment horizontal="center" wrapText="1"/>
      <protection locked="0"/>
    </xf>
    <xf numFmtId="0" fontId="34" fillId="33" borderId="23" xfId="0" applyNumberFormat="1" applyFont="1" applyFill="1" applyBorder="1" applyAlignment="1" applyProtection="1">
      <alignment horizontal="center" wrapText="1"/>
      <protection locked="0"/>
    </xf>
    <xf numFmtId="0" fontId="29" fillId="0" borderId="0" xfId="0" applyFont="1" applyFill="1" applyAlignment="1" applyProtection="1">
      <alignment horizontal="left" wrapText="1"/>
      <protection locked="0"/>
    </xf>
    <xf numFmtId="0" fontId="29" fillId="0" borderId="0" xfId="0" applyFont="1" applyAlignment="1" applyProtection="1">
      <alignment horizontal="left" wrapText="1"/>
      <protection locked="0"/>
    </xf>
    <xf numFmtId="0" fontId="29" fillId="0" borderId="0" xfId="0" applyFont="1" applyFill="1" applyBorder="1" applyAlignment="1" applyProtection="1">
      <alignment horizontal="center" wrapText="1"/>
      <protection locked="0"/>
    </xf>
    <xf numFmtId="0" fontId="34" fillId="0" borderId="0" xfId="0" applyFont="1" applyProtection="1">
      <protection locked="0"/>
    </xf>
    <xf numFmtId="49" fontId="34" fillId="0" borderId="0" xfId="0" applyNumberFormat="1" applyFont="1" applyProtection="1">
      <protection locked="0"/>
    </xf>
    <xf numFmtId="0" fontId="29" fillId="0" borderId="0" xfId="0" applyFont="1" applyAlignment="1" applyProtection="1">
      <alignment horizontal="left"/>
      <protection locked="0"/>
    </xf>
    <xf numFmtId="0" fontId="3" fillId="0" borderId="0" xfId="0" applyFont="1" applyFill="1" applyAlignment="1" applyProtection="1">
      <alignment horizontal="left"/>
      <protection locked="0"/>
    </xf>
    <xf numFmtId="0" fontId="29" fillId="0" borderId="0" xfId="0" applyFont="1" applyProtection="1">
      <protection locked="0"/>
    </xf>
    <xf numFmtId="0" fontId="29" fillId="0" borderId="0" xfId="0" applyFont="1" applyAlignment="1" applyProtection="1">
      <alignment horizontal="right"/>
      <protection locked="0"/>
    </xf>
    <xf numFmtId="49" fontId="29" fillId="0" borderId="0" xfId="0" applyNumberFormat="1" applyFont="1" applyAlignment="1" applyProtection="1">
      <alignment horizontal="right"/>
      <protection locked="0"/>
    </xf>
    <xf numFmtId="0" fontId="29" fillId="33" borderId="33" xfId="0" applyFont="1" applyFill="1" applyBorder="1" applyAlignment="1" applyProtection="1">
      <alignment horizontal="right" wrapText="1"/>
      <protection locked="0"/>
    </xf>
    <xf numFmtId="0" fontId="29" fillId="0" borderId="0" xfId="0" applyFont="1" applyFill="1" applyBorder="1" applyAlignment="1" applyProtection="1">
      <alignment wrapText="1"/>
      <protection locked="0"/>
    </xf>
    <xf numFmtId="0" fontId="29" fillId="33" borderId="6" xfId="0" applyFont="1" applyFill="1" applyBorder="1" applyAlignment="1" applyProtection="1">
      <alignment wrapText="1"/>
      <protection locked="0"/>
    </xf>
    <xf numFmtId="0" fontId="29" fillId="0" borderId="0" xfId="0" applyFont="1" applyBorder="1" applyAlignment="1" applyProtection="1">
      <alignment horizontal="right" wrapText="1"/>
      <protection locked="0"/>
    </xf>
    <xf numFmtId="0" fontId="29" fillId="0" borderId="50" xfId="0" applyFont="1" applyFill="1" applyBorder="1" applyAlignment="1" applyProtection="1">
      <alignment horizontal="center" wrapText="1"/>
      <protection locked="0"/>
    </xf>
    <xf numFmtId="0" fontId="29" fillId="33" borderId="0" xfId="0" applyFont="1" applyFill="1" applyAlignment="1" applyProtection="1">
      <protection locked="0"/>
    </xf>
    <xf numFmtId="0" fontId="32" fillId="33" borderId="0" xfId="0" applyFont="1" applyFill="1" applyAlignment="1" applyProtection="1">
      <alignment horizontal="right"/>
      <protection locked="0"/>
    </xf>
    <xf numFmtId="168" fontId="34" fillId="0" borderId="0" xfId="0" applyNumberFormat="1" applyFont="1" applyProtection="1">
      <protection locked="0"/>
    </xf>
    <xf numFmtId="14" fontId="34" fillId="0" borderId="0" xfId="0" applyNumberFormat="1" applyFont="1" applyProtection="1">
      <protection locked="0"/>
    </xf>
    <xf numFmtId="0" fontId="3" fillId="0" borderId="0" xfId="0" applyFont="1" applyFill="1" applyAlignment="1" applyProtection="1">
      <alignment horizontal="left" wrapText="1"/>
      <protection locked="0"/>
    </xf>
    <xf numFmtId="0" fontId="29" fillId="0" borderId="33" xfId="0" applyFont="1" applyBorder="1" applyAlignment="1" applyProtection="1">
      <protection locked="0"/>
    </xf>
    <xf numFmtId="0" fontId="34" fillId="0" borderId="0" xfId="0" applyFont="1" applyBorder="1" applyProtection="1">
      <protection locked="0"/>
    </xf>
    <xf numFmtId="0" fontId="29" fillId="0" borderId="0" xfId="0" applyFont="1" applyBorder="1" applyProtection="1">
      <protection locked="0"/>
    </xf>
    <xf numFmtId="3" fontId="34" fillId="0" borderId="0" xfId="0" applyNumberFormat="1" applyFont="1" applyBorder="1" applyAlignment="1" applyProtection="1">
      <alignment horizontal="right" wrapText="1"/>
      <protection locked="0"/>
    </xf>
    <xf numFmtId="173" fontId="34" fillId="0" borderId="0" xfId="0" applyNumberFormat="1" applyFont="1" applyBorder="1" applyProtection="1">
      <protection locked="0"/>
    </xf>
    <xf numFmtId="1" fontId="34" fillId="0" borderId="0" xfId="0" applyNumberFormat="1" applyFont="1" applyBorder="1" applyProtection="1">
      <protection locked="0"/>
    </xf>
    <xf numFmtId="0" fontId="29" fillId="1" borderId="19" xfId="0" applyFont="1" applyFill="1" applyBorder="1" applyAlignment="1" applyProtection="1">
      <alignment wrapText="1"/>
      <protection locked="0"/>
    </xf>
    <xf numFmtId="0" fontId="30" fillId="0" borderId="0" xfId="0" applyFont="1" applyBorder="1" applyProtection="1">
      <protection locked="0"/>
    </xf>
    <xf numFmtId="0" fontId="4" fillId="0" borderId="0" xfId="0" applyFont="1" applyAlignment="1" applyProtection="1">
      <alignment horizontal="right" wrapText="1"/>
      <protection locked="0"/>
    </xf>
    <xf numFmtId="0" fontId="5" fillId="0" borderId="0" xfId="0" applyFont="1" applyFill="1" applyProtection="1">
      <protection locked="0"/>
    </xf>
    <xf numFmtId="0" fontId="31" fillId="0" borderId="0" xfId="0" applyFont="1" applyFill="1" applyBorder="1" applyProtection="1">
      <protection locked="0"/>
    </xf>
    <xf numFmtId="0" fontId="34" fillId="0" borderId="0" xfId="0" applyFont="1" applyFill="1" applyProtection="1">
      <protection locked="0"/>
    </xf>
    <xf numFmtId="0" fontId="34" fillId="0" borderId="0" xfId="0" applyFont="1" applyFill="1" applyBorder="1" applyProtection="1">
      <protection locked="0"/>
    </xf>
    <xf numFmtId="0" fontId="35" fillId="0" borderId="0" xfId="0" applyFont="1" applyBorder="1" applyProtection="1">
      <protection locked="0"/>
    </xf>
    <xf numFmtId="0" fontId="29" fillId="0" borderId="0" xfId="0" applyFont="1" applyBorder="1" applyAlignment="1" applyProtection="1">
      <alignment horizontal="left"/>
      <protection locked="0"/>
    </xf>
    <xf numFmtId="164" fontId="29" fillId="0" borderId="0" xfId="35" applyNumberFormat="1" applyFont="1" applyBorder="1" applyAlignment="1" applyProtection="1">
      <alignment horizontal="right"/>
      <protection locked="0"/>
    </xf>
    <xf numFmtId="164" fontId="29" fillId="0" borderId="0" xfId="35" applyNumberFormat="1" applyFont="1" applyBorder="1" applyProtection="1">
      <protection locked="0"/>
    </xf>
    <xf numFmtId="0" fontId="29" fillId="40" borderId="1" xfId="0" applyFont="1" applyFill="1" applyBorder="1" applyAlignment="1" applyProtection="1">
      <alignment horizontal="center" wrapText="1"/>
      <protection locked="0"/>
    </xf>
    <xf numFmtId="0" fontId="29" fillId="40" borderId="3" xfId="0" applyFont="1" applyFill="1" applyBorder="1" applyAlignment="1" applyProtection="1">
      <alignment horizontal="center" wrapText="1"/>
      <protection locked="0"/>
    </xf>
    <xf numFmtId="43" fontId="34" fillId="40" borderId="4" xfId="0" applyNumberFormat="1" applyFont="1" applyFill="1" applyBorder="1" applyAlignment="1" applyProtection="1">
      <alignment horizontal="right" wrapText="1"/>
      <protection locked="0"/>
    </xf>
    <xf numFmtId="0" fontId="29" fillId="0" borderId="0" xfId="0" applyFont="1" applyBorder="1" applyAlignment="1" applyProtection="1">
      <protection locked="0"/>
    </xf>
    <xf numFmtId="164" fontId="29" fillId="0" borderId="0" xfId="35" applyNumberFormat="1" applyFont="1" applyFill="1" applyBorder="1" applyProtection="1">
      <protection locked="0"/>
    </xf>
    <xf numFmtId="44" fontId="34" fillId="40" borderId="27" xfId="0" applyNumberFormat="1" applyFont="1" applyFill="1" applyBorder="1" applyAlignment="1" applyProtection="1">
      <alignment horizontal="right" wrapText="1"/>
      <protection locked="0"/>
    </xf>
    <xf numFmtId="43" fontId="34" fillId="40" borderId="27" xfId="0" applyNumberFormat="1" applyFont="1" applyFill="1" applyBorder="1" applyAlignment="1" applyProtection="1">
      <alignment horizontal="right" wrapText="1"/>
      <protection locked="0"/>
    </xf>
    <xf numFmtId="43" fontId="29" fillId="0" borderId="0" xfId="0" applyNumberFormat="1" applyFont="1" applyBorder="1" applyAlignment="1" applyProtection="1">
      <protection locked="0"/>
    </xf>
    <xf numFmtId="3" fontId="29" fillId="0" borderId="0" xfId="0" applyNumberFormat="1" applyFont="1" applyFill="1" applyBorder="1" applyAlignment="1" applyProtection="1">
      <protection locked="0"/>
    </xf>
    <xf numFmtId="3" fontId="34" fillId="0" borderId="0" xfId="0" applyNumberFormat="1" applyFont="1" applyFill="1" applyBorder="1" applyAlignment="1" applyProtection="1">
      <alignment horizontal="right" wrapText="1"/>
      <protection locked="0"/>
    </xf>
    <xf numFmtId="0" fontId="29" fillId="0" borderId="0" xfId="0" applyFont="1" applyFill="1" applyBorder="1" applyAlignment="1" applyProtection="1">
      <protection locked="0"/>
    </xf>
    <xf numFmtId="0" fontId="34" fillId="0" borderId="6" xfId="0" applyFont="1" applyBorder="1" applyProtection="1">
      <protection locked="0"/>
    </xf>
    <xf numFmtId="39" fontId="34" fillId="40" borderId="4" xfId="28" applyNumberFormat="1" applyFont="1" applyFill="1" applyBorder="1" applyAlignment="1" applyProtection="1">
      <alignment horizontal="right" wrapText="1"/>
      <protection locked="0"/>
    </xf>
    <xf numFmtId="0" fontId="36" fillId="0" borderId="0" xfId="0" applyFont="1" applyProtection="1">
      <protection locked="0"/>
    </xf>
    <xf numFmtId="167" fontId="34" fillId="40" borderId="3" xfId="60" applyNumberFormat="1" applyFont="1" applyFill="1" applyBorder="1" applyAlignment="1" applyProtection="1">
      <alignment horizontal="right" wrapText="1"/>
      <protection locked="0"/>
    </xf>
    <xf numFmtId="0" fontId="29" fillId="42" borderId="0" xfId="0" applyFont="1" applyFill="1" applyAlignment="1" applyProtection="1"/>
    <xf numFmtId="0" fontId="29" fillId="42" borderId="0" xfId="0" applyFont="1" applyFill="1" applyAlignment="1" applyProtection="1">
      <alignment horizontal="left"/>
    </xf>
    <xf numFmtId="165" fontId="29" fillId="34" borderId="10" xfId="28" applyNumberFormat="1" applyFont="1" applyFill="1" applyBorder="1" applyAlignment="1" applyProtection="1">
      <alignment horizontal="right" wrapText="1"/>
    </xf>
    <xf numFmtId="165" fontId="29" fillId="35" borderId="11" xfId="28" applyNumberFormat="1" applyFont="1" applyFill="1" applyBorder="1" applyAlignment="1" applyProtection="1">
      <alignment horizontal="right" wrapText="1"/>
    </xf>
    <xf numFmtId="165" fontId="29" fillId="34" borderId="4" xfId="28" applyNumberFormat="1" applyFont="1" applyFill="1" applyBorder="1" applyAlignment="1" applyProtection="1">
      <alignment horizontal="right" wrapText="1"/>
    </xf>
    <xf numFmtId="165" fontId="29" fillId="35" borderId="7" xfId="28" applyNumberFormat="1" applyFont="1" applyFill="1" applyBorder="1" applyAlignment="1" applyProtection="1">
      <alignment horizontal="right" wrapText="1"/>
    </xf>
    <xf numFmtId="0" fontId="29" fillId="0" borderId="0" xfId="0" applyFont="1" applyProtection="1"/>
    <xf numFmtId="0" fontId="34" fillId="0" borderId="0" xfId="0" applyFont="1" applyAlignment="1" applyProtection="1">
      <alignment horizontal="right"/>
    </xf>
    <xf numFmtId="0" fontId="29" fillId="33" borderId="0" xfId="0" applyFont="1" applyFill="1" applyAlignment="1" applyProtection="1">
      <alignment horizontal="left"/>
    </xf>
    <xf numFmtId="0" fontId="3" fillId="42" borderId="0" xfId="0" applyFont="1" applyFill="1" applyAlignment="1" applyProtection="1">
      <alignment horizontal="left"/>
    </xf>
    <xf numFmtId="0" fontId="29" fillId="34" borderId="0" xfId="0" applyFont="1" applyFill="1" applyProtection="1"/>
    <xf numFmtId="0" fontId="34" fillId="34" borderId="0" xfId="0" applyFont="1" applyFill="1" applyProtection="1"/>
    <xf numFmtId="0" fontId="29" fillId="35" borderId="0" xfId="0" applyFont="1" applyFill="1" applyProtection="1"/>
    <xf numFmtId="0" fontId="3" fillId="35" borderId="0" xfId="0" applyFont="1" applyFill="1" applyAlignment="1" applyProtection="1">
      <alignment horizontal="left"/>
    </xf>
    <xf numFmtId="0" fontId="29" fillId="34" borderId="19" xfId="0" applyFont="1" applyFill="1" applyBorder="1" applyAlignment="1" applyProtection="1">
      <alignment horizontal="center" wrapText="1"/>
    </xf>
    <xf numFmtId="0" fontId="29" fillId="35" borderId="3" xfId="0" applyFont="1" applyFill="1" applyBorder="1" applyAlignment="1" applyProtection="1">
      <alignment horizontal="center" wrapText="1"/>
    </xf>
    <xf numFmtId="0" fontId="29" fillId="34" borderId="3" xfId="0" applyFont="1" applyFill="1" applyBorder="1" applyAlignment="1" applyProtection="1">
      <alignment horizontal="center" wrapText="1"/>
    </xf>
    <xf numFmtId="0" fontId="9" fillId="34" borderId="3" xfId="0" applyFont="1" applyFill="1" applyBorder="1" applyAlignment="1" applyProtection="1">
      <alignment horizontal="center" wrapText="1"/>
    </xf>
    <xf numFmtId="0" fontId="9" fillId="35" borderId="3" xfId="0" applyFont="1" applyFill="1" applyBorder="1" applyAlignment="1" applyProtection="1">
      <alignment horizontal="center" wrapText="1"/>
    </xf>
    <xf numFmtId="3" fontId="34" fillId="38" borderId="27" xfId="0" applyNumberFormat="1" applyFont="1" applyFill="1" applyBorder="1" applyAlignment="1" applyProtection="1">
      <alignment horizontal="right" wrapText="1"/>
    </xf>
    <xf numFmtId="3" fontId="34" fillId="35" borderId="27" xfId="0" applyNumberFormat="1" applyFont="1" applyFill="1" applyBorder="1" applyAlignment="1" applyProtection="1">
      <alignment horizontal="right" wrapText="1"/>
    </xf>
    <xf numFmtId="41" fontId="34" fillId="38" borderId="4" xfId="0" applyNumberFormat="1" applyFont="1" applyFill="1" applyBorder="1" applyAlignment="1" applyProtection="1">
      <alignment horizontal="right" wrapText="1"/>
    </xf>
    <xf numFmtId="42" fontId="34" fillId="35" borderId="27" xfId="0" applyNumberFormat="1" applyFont="1" applyFill="1" applyBorder="1" applyAlignment="1" applyProtection="1">
      <alignment horizontal="right" wrapText="1"/>
    </xf>
    <xf numFmtId="41" fontId="34" fillId="35" borderId="27" xfId="0" applyNumberFormat="1" applyFont="1" applyFill="1" applyBorder="1" applyAlignment="1" applyProtection="1">
      <alignment horizontal="right" wrapText="1"/>
    </xf>
    <xf numFmtId="3" fontId="34" fillId="38" borderId="23" xfId="0" applyNumberFormat="1" applyFont="1" applyFill="1" applyBorder="1" applyAlignment="1" applyProtection="1">
      <alignment horizontal="right" wrapText="1"/>
    </xf>
    <xf numFmtId="3" fontId="34" fillId="35" borderId="23" xfId="0" applyNumberFormat="1" applyFont="1" applyFill="1" applyBorder="1" applyAlignment="1" applyProtection="1">
      <alignment horizontal="right" wrapText="1"/>
    </xf>
    <xf numFmtId="41" fontId="34" fillId="38" borderId="23" xfId="0" applyNumberFormat="1" applyFont="1" applyFill="1" applyBorder="1" applyAlignment="1" applyProtection="1">
      <alignment horizontal="right" wrapText="1"/>
    </xf>
    <xf numFmtId="41" fontId="34" fillId="35" borderId="23" xfId="0" applyNumberFormat="1" applyFont="1" applyFill="1" applyBorder="1" applyAlignment="1" applyProtection="1">
      <alignment horizontal="right" wrapText="1"/>
    </xf>
    <xf numFmtId="3" fontId="29" fillId="37" borderId="2" xfId="35" applyNumberFormat="1" applyFont="1" applyFill="1" applyBorder="1" applyProtection="1"/>
    <xf numFmtId="3" fontId="29" fillId="36" borderId="2" xfId="35" applyNumberFormat="1" applyFont="1" applyFill="1" applyBorder="1" applyProtection="1"/>
    <xf numFmtId="171" fontId="29" fillId="37" borderId="2" xfId="35" applyNumberFormat="1" applyFont="1" applyFill="1" applyBorder="1" applyProtection="1"/>
    <xf numFmtId="42" fontId="29" fillId="36" borderId="2" xfId="35" applyNumberFormat="1" applyFont="1" applyFill="1" applyBorder="1" applyProtection="1"/>
    <xf numFmtId="165" fontId="29" fillId="34" borderId="17" xfId="28" applyNumberFormat="1" applyFont="1" applyFill="1" applyBorder="1" applyProtection="1"/>
    <xf numFmtId="165" fontId="29" fillId="35" borderId="17" xfId="28" applyNumberFormat="1" applyFont="1" applyFill="1" applyBorder="1" applyProtection="1"/>
    <xf numFmtId="42" fontId="29" fillId="34" borderId="17" xfId="28" applyNumberFormat="1" applyFont="1" applyFill="1" applyBorder="1" applyProtection="1"/>
    <xf numFmtId="42" fontId="29" fillId="35" borderId="17" xfId="28" applyNumberFormat="1" applyFont="1" applyFill="1" applyBorder="1" applyProtection="1"/>
    <xf numFmtId="0" fontId="29" fillId="43" borderId="19" xfId="0" applyFont="1" applyFill="1" applyBorder="1" applyAlignment="1" applyProtection="1">
      <alignment wrapText="1"/>
    </xf>
    <xf numFmtId="0" fontId="29" fillId="1" borderId="19" xfId="0" applyFont="1" applyFill="1" applyBorder="1" applyAlignment="1" applyProtection="1">
      <alignment wrapText="1"/>
    </xf>
    <xf numFmtId="165" fontId="34" fillId="42" borderId="22" xfId="28" applyNumberFormat="1" applyFont="1" applyFill="1" applyBorder="1" applyAlignment="1" applyProtection="1">
      <alignment horizontal="center"/>
    </xf>
    <xf numFmtId="165" fontId="34" fillId="42" borderId="3" xfId="28" applyNumberFormat="1" applyFont="1" applyFill="1" applyBorder="1" applyAlignment="1" applyProtection="1"/>
    <xf numFmtId="0" fontId="34" fillId="43" borderId="38" xfId="0" applyFont="1" applyFill="1" applyBorder="1" applyProtection="1"/>
    <xf numFmtId="0" fontId="29" fillId="0" borderId="19" xfId="0" applyFont="1" applyFill="1" applyBorder="1" applyAlignment="1" applyProtection="1"/>
    <xf numFmtId="0" fontId="29" fillId="0" borderId="22" xfId="0" applyFont="1" applyFill="1" applyBorder="1" applyAlignment="1" applyProtection="1"/>
    <xf numFmtId="0" fontId="29" fillId="0" borderId="6" xfId="0" applyFont="1" applyFill="1" applyBorder="1" applyAlignment="1" applyProtection="1"/>
    <xf numFmtId="0" fontId="29" fillId="0" borderId="25" xfId="0" applyFont="1" applyFill="1" applyBorder="1" applyAlignment="1" applyProtection="1">
      <alignment horizontal="left"/>
    </xf>
    <xf numFmtId="0" fontId="29" fillId="0" borderId="3" xfId="0" applyFont="1" applyFill="1" applyBorder="1" applyProtection="1"/>
    <xf numFmtId="0" fontId="29" fillId="0" borderId="19" xfId="0" applyFont="1" applyFill="1" applyBorder="1" applyProtection="1"/>
    <xf numFmtId="0" fontId="29" fillId="0" borderId="3" xfId="0" applyFont="1" applyFill="1" applyBorder="1" applyAlignment="1" applyProtection="1">
      <alignment horizontal="center" wrapText="1"/>
    </xf>
    <xf numFmtId="0" fontId="29" fillId="0" borderId="19" xfId="0" applyFont="1" applyFill="1" applyBorder="1" applyAlignment="1" applyProtection="1">
      <alignment horizontal="center" wrapText="1"/>
    </xf>
    <xf numFmtId="0" fontId="29" fillId="0" borderId="19" xfId="0" applyFont="1" applyFill="1" applyBorder="1" applyAlignment="1" applyProtection="1">
      <alignment horizontal="left" vertical="top"/>
    </xf>
    <xf numFmtId="0" fontId="29" fillId="0" borderId="6" xfId="0" applyFont="1" applyFill="1" applyBorder="1" applyAlignment="1" applyProtection="1">
      <alignment horizontal="left" vertical="top" wrapText="1"/>
    </xf>
    <xf numFmtId="0" fontId="29" fillId="0" borderId="6" xfId="0" applyFont="1" applyFill="1" applyBorder="1" applyAlignment="1" applyProtection="1">
      <alignment horizontal="center" wrapText="1"/>
    </xf>
    <xf numFmtId="0" fontId="29" fillId="0" borderId="22" xfId="0" applyFont="1" applyFill="1" applyBorder="1" applyAlignment="1" applyProtection="1">
      <alignment horizontal="center" wrapText="1"/>
    </xf>
    <xf numFmtId="0" fontId="29" fillId="0" borderId="1" xfId="0" applyFont="1" applyFill="1" applyBorder="1" applyAlignment="1" applyProtection="1">
      <alignment horizontal="center" wrapText="1"/>
    </xf>
    <xf numFmtId="0" fontId="29" fillId="34" borderId="1" xfId="0" applyFont="1" applyFill="1" applyBorder="1" applyAlignment="1" applyProtection="1">
      <alignment horizontal="center" wrapText="1"/>
    </xf>
    <xf numFmtId="0" fontId="29" fillId="35" borderId="1" xfId="0" applyFont="1" applyFill="1" applyBorder="1" applyAlignment="1" applyProtection="1">
      <alignment horizontal="center" wrapText="1"/>
    </xf>
    <xf numFmtId="49" fontId="34" fillId="42" borderId="21" xfId="0" applyNumberFormat="1" applyFont="1" applyFill="1" applyBorder="1" applyAlignment="1" applyProtection="1">
      <alignment horizontal="center" wrapText="1"/>
    </xf>
    <xf numFmtId="0" fontId="34" fillId="42" borderId="21" xfId="0" applyFont="1" applyFill="1" applyBorder="1" applyAlignment="1" applyProtection="1">
      <alignment horizontal="center" wrapText="1"/>
    </xf>
    <xf numFmtId="0" fontId="34" fillId="42" borderId="21" xfId="0" applyFont="1" applyFill="1" applyBorder="1" applyAlignment="1" applyProtection="1">
      <alignment horizontal="left" wrapText="1"/>
    </xf>
    <xf numFmtId="42" fontId="34" fillId="42" borderId="21" xfId="28" applyNumberFormat="1" applyFont="1" applyFill="1" applyBorder="1" applyAlignment="1" applyProtection="1">
      <alignment horizontal="right" wrapText="1"/>
    </xf>
    <xf numFmtId="44" fontId="34" fillId="42" borderId="4" xfId="28" applyNumberFormat="1" applyFont="1" applyFill="1" applyBorder="1" applyAlignment="1" applyProtection="1">
      <alignment horizontal="right" wrapText="1"/>
    </xf>
    <xf numFmtId="3" fontId="34" fillId="42" borderId="21" xfId="0" applyNumberFormat="1" applyFont="1" applyFill="1" applyBorder="1" applyAlignment="1" applyProtection="1">
      <alignment horizontal="right" wrapText="1"/>
    </xf>
    <xf numFmtId="165" fontId="34" fillId="34" borderId="21" xfId="28" applyNumberFormat="1" applyFont="1" applyFill="1" applyBorder="1" applyAlignment="1" applyProtection="1">
      <alignment horizontal="right" wrapText="1"/>
    </xf>
    <xf numFmtId="42" fontId="34" fillId="34" borderId="21" xfId="28" applyNumberFormat="1" applyFont="1" applyFill="1" applyBorder="1" applyAlignment="1" applyProtection="1">
      <alignment horizontal="right" wrapText="1"/>
    </xf>
    <xf numFmtId="165" fontId="34" fillId="35" borderId="21" xfId="28" applyNumberFormat="1" applyFont="1" applyFill="1" applyBorder="1" applyAlignment="1" applyProtection="1">
      <alignment horizontal="right" wrapText="1"/>
    </xf>
    <xf numFmtId="42" fontId="34" fillId="35" borderId="21" xfId="28" applyNumberFormat="1" applyFont="1" applyFill="1" applyBorder="1" applyAlignment="1" applyProtection="1">
      <alignment horizontal="right" wrapText="1"/>
    </xf>
    <xf numFmtId="49" fontId="34" fillId="42" borderId="4" xfId="0" applyNumberFormat="1" applyFont="1" applyFill="1" applyBorder="1" applyAlignment="1" applyProtection="1">
      <alignment horizontal="center" wrapText="1"/>
    </xf>
    <xf numFmtId="0" fontId="34" fillId="42" borderId="4" xfId="0" applyFont="1" applyFill="1" applyBorder="1" applyAlignment="1" applyProtection="1">
      <alignment horizontal="center" wrapText="1"/>
    </xf>
    <xf numFmtId="0" fontId="34" fillId="42" borderId="4" xfId="0" applyFont="1" applyFill="1" applyBorder="1" applyAlignment="1" applyProtection="1">
      <alignment horizontal="left" wrapText="1"/>
    </xf>
    <xf numFmtId="41" fontId="34" fillId="42" borderId="4" xfId="28" applyNumberFormat="1" applyFont="1" applyFill="1" applyBorder="1" applyAlignment="1" applyProtection="1">
      <alignment horizontal="right" wrapText="1"/>
    </xf>
    <xf numFmtId="43" fontId="34" fillId="42" borderId="4" xfId="28" applyNumberFormat="1" applyFont="1" applyFill="1" applyBorder="1" applyAlignment="1" applyProtection="1">
      <alignment horizontal="right" wrapText="1"/>
    </xf>
    <xf numFmtId="3" fontId="34" fillId="42" borderId="4" xfId="0" applyNumberFormat="1" applyFont="1" applyFill="1" applyBorder="1" applyAlignment="1" applyProtection="1">
      <alignment horizontal="right" wrapText="1"/>
    </xf>
    <xf numFmtId="165" fontId="34" fillId="34" borderId="27" xfId="28" applyNumberFormat="1" applyFont="1" applyFill="1" applyBorder="1" applyAlignment="1" applyProtection="1">
      <alignment horizontal="right" wrapText="1"/>
    </xf>
    <xf numFmtId="41" fontId="34" fillId="34" borderId="4" xfId="28" applyNumberFormat="1" applyFont="1" applyFill="1" applyBorder="1" applyAlignment="1" applyProtection="1">
      <alignment horizontal="right" wrapText="1"/>
    </xf>
    <xf numFmtId="165" fontId="34" fillId="35" borderId="27" xfId="28" applyNumberFormat="1" applyFont="1" applyFill="1" applyBorder="1" applyAlignment="1" applyProtection="1">
      <alignment horizontal="right" wrapText="1"/>
    </xf>
    <xf numFmtId="41" fontId="34" fillId="35" borderId="4" xfId="28" applyNumberFormat="1" applyFont="1" applyFill="1" applyBorder="1" applyAlignment="1" applyProtection="1">
      <alignment horizontal="right" wrapText="1"/>
    </xf>
    <xf numFmtId="49" fontId="34" fillId="42" borderId="26" xfId="0" applyNumberFormat="1" applyFont="1" applyFill="1" applyBorder="1" applyAlignment="1" applyProtection="1">
      <alignment horizontal="center" wrapText="1"/>
    </xf>
    <xf numFmtId="0" fontId="34" fillId="42" borderId="26" xfId="0" applyFont="1" applyFill="1" applyBorder="1" applyAlignment="1" applyProtection="1">
      <alignment horizontal="center" wrapText="1"/>
    </xf>
    <xf numFmtId="0" fontId="34" fillId="42" borderId="26" xfId="0" applyFont="1" applyFill="1" applyBorder="1" applyAlignment="1" applyProtection="1">
      <alignment horizontal="left" wrapText="1"/>
    </xf>
    <xf numFmtId="49" fontId="34" fillId="42" borderId="23" xfId="0" applyNumberFormat="1" applyFont="1" applyFill="1" applyBorder="1" applyAlignment="1" applyProtection="1">
      <alignment horizontal="center" wrapText="1"/>
    </xf>
    <xf numFmtId="0" fontId="34" fillId="42" borderId="23" xfId="0" applyFont="1" applyFill="1" applyBorder="1" applyAlignment="1" applyProtection="1">
      <alignment horizontal="center" wrapText="1"/>
    </xf>
    <xf numFmtId="0" fontId="34" fillId="42" borderId="23" xfId="0" applyFont="1" applyFill="1" applyBorder="1" applyAlignment="1" applyProtection="1">
      <alignment horizontal="left" wrapText="1"/>
    </xf>
    <xf numFmtId="41" fontId="34" fillId="42" borderId="23" xfId="28" applyNumberFormat="1" applyFont="1" applyFill="1" applyBorder="1" applyAlignment="1" applyProtection="1">
      <alignment horizontal="right" wrapText="1"/>
    </xf>
    <xf numFmtId="3" fontId="34" fillId="42" borderId="23" xfId="0" applyNumberFormat="1" applyFont="1" applyFill="1" applyBorder="1" applyAlignment="1" applyProtection="1">
      <alignment horizontal="right" wrapText="1"/>
    </xf>
    <xf numFmtId="41" fontId="34" fillId="34" borderId="23" xfId="28" applyNumberFormat="1" applyFont="1" applyFill="1" applyBorder="1" applyAlignment="1" applyProtection="1">
      <alignment horizontal="right" wrapText="1"/>
    </xf>
    <xf numFmtId="41" fontId="34" fillId="35" borderId="23" xfId="28" applyNumberFormat="1" applyFont="1" applyFill="1" applyBorder="1" applyAlignment="1" applyProtection="1">
      <alignment horizontal="right" wrapText="1"/>
    </xf>
    <xf numFmtId="0" fontId="29" fillId="43" borderId="3" xfId="0" applyFont="1" applyFill="1" applyBorder="1" applyAlignment="1" applyProtection="1"/>
    <xf numFmtId="41" fontId="29" fillId="34" borderId="3" xfId="28" applyNumberFormat="1" applyFont="1" applyFill="1" applyBorder="1" applyProtection="1"/>
    <xf numFmtId="42" fontId="29" fillId="34" borderId="3" xfId="35" applyNumberFormat="1" applyFont="1" applyFill="1" applyBorder="1" applyProtection="1"/>
    <xf numFmtId="41" fontId="29" fillId="35" borderId="3" xfId="28" applyNumberFormat="1" applyFont="1" applyFill="1" applyBorder="1" applyProtection="1"/>
    <xf numFmtId="164" fontId="29" fillId="35" borderId="3" xfId="35" applyNumberFormat="1" applyFont="1" applyFill="1" applyBorder="1" applyProtection="1"/>
    <xf numFmtId="0" fontId="29" fillId="0" borderId="19" xfId="0" applyFont="1" applyBorder="1" applyAlignment="1" applyProtection="1">
      <alignment vertical="top" wrapText="1"/>
    </xf>
    <xf numFmtId="0" fontId="29" fillId="0" borderId="6" xfId="0" applyFont="1" applyBorder="1" applyAlignment="1" applyProtection="1">
      <alignment vertical="top"/>
    </xf>
    <xf numFmtId="0" fontId="29" fillId="0" borderId="6" xfId="0" applyFont="1" applyBorder="1" applyAlignment="1" applyProtection="1">
      <alignment horizontal="center" wrapText="1"/>
    </xf>
    <xf numFmtId="0" fontId="29" fillId="0" borderId="22" xfId="0" applyFont="1" applyBorder="1" applyAlignment="1" applyProtection="1">
      <alignment horizontal="center" wrapText="1"/>
    </xf>
    <xf numFmtId="0" fontId="37" fillId="0" borderId="19" xfId="0" applyFont="1" applyFill="1" applyBorder="1" applyAlignment="1" applyProtection="1">
      <alignment horizontal="left" vertical="top" wrapText="1"/>
    </xf>
    <xf numFmtId="0" fontId="37" fillId="0" borderId="6" xfId="0" applyFont="1" applyFill="1" applyBorder="1" applyAlignment="1" applyProtection="1">
      <alignment horizontal="left" vertical="top" wrapText="1"/>
    </xf>
    <xf numFmtId="0" fontId="29" fillId="40" borderId="1" xfId="0" applyFont="1" applyFill="1" applyBorder="1" applyAlignment="1" applyProtection="1">
      <alignment horizontal="center" wrapText="1"/>
    </xf>
    <xf numFmtId="0" fontId="29" fillId="40" borderId="3" xfId="0" applyFont="1" applyFill="1" applyBorder="1" applyAlignment="1" applyProtection="1">
      <alignment horizontal="center" wrapText="1"/>
    </xf>
    <xf numFmtId="0" fontId="29" fillId="1" borderId="6" xfId="0" applyFont="1" applyFill="1" applyBorder="1" applyAlignment="1" applyProtection="1">
      <alignment wrapText="1"/>
    </xf>
    <xf numFmtId="0" fontId="29" fillId="1" borderId="22" xfId="0" applyFont="1" applyFill="1" applyBorder="1" applyAlignment="1" applyProtection="1">
      <alignment wrapText="1"/>
    </xf>
    <xf numFmtId="0" fontId="34" fillId="42" borderId="21" xfId="0" applyFont="1" applyFill="1" applyBorder="1" applyAlignment="1" applyProtection="1">
      <alignment horizontal="left"/>
    </xf>
    <xf numFmtId="42" fontId="34" fillId="34" borderId="27" xfId="28" applyNumberFormat="1" applyFont="1" applyFill="1" applyBorder="1" applyAlignment="1" applyProtection="1">
      <alignment horizontal="right" wrapText="1"/>
    </xf>
    <xf numFmtId="42" fontId="34" fillId="35" borderId="27" xfId="28" applyNumberFormat="1" applyFont="1" applyFill="1" applyBorder="1" applyAlignment="1" applyProtection="1">
      <alignment horizontal="right" wrapText="1"/>
    </xf>
    <xf numFmtId="0" fontId="34" fillId="42" borderId="4" xfId="0" applyFont="1" applyFill="1" applyBorder="1" applyAlignment="1" applyProtection="1">
      <alignment horizontal="left"/>
    </xf>
    <xf numFmtId="49" fontId="34" fillId="42" borderId="27" xfId="0" applyNumberFormat="1" applyFont="1" applyFill="1" applyBorder="1" applyAlignment="1" applyProtection="1">
      <alignment horizontal="center" wrapText="1"/>
    </xf>
    <xf numFmtId="0" fontId="34" fillId="42" borderId="27" xfId="0" applyFont="1" applyFill="1" applyBorder="1" applyAlignment="1" applyProtection="1">
      <alignment horizontal="center" wrapText="1"/>
    </xf>
    <xf numFmtId="0" fontId="34" fillId="42" borderId="27" xfId="0" applyFont="1" applyFill="1" applyBorder="1" applyAlignment="1" applyProtection="1">
      <alignment horizontal="left"/>
    </xf>
    <xf numFmtId="42" fontId="34" fillId="42" borderId="27" xfId="28" applyNumberFormat="1" applyFont="1" applyFill="1" applyBorder="1" applyAlignment="1" applyProtection="1">
      <alignment horizontal="right" wrapText="1"/>
    </xf>
    <xf numFmtId="44" fontId="34" fillId="42" borderId="27" xfId="28" applyNumberFormat="1" applyFont="1" applyFill="1" applyBorder="1" applyAlignment="1" applyProtection="1">
      <alignment horizontal="right" wrapText="1"/>
    </xf>
    <xf numFmtId="3" fontId="34" fillId="42" borderId="27" xfId="0" applyNumberFormat="1" applyFont="1" applyFill="1" applyBorder="1" applyAlignment="1" applyProtection="1">
      <alignment horizontal="right" wrapText="1"/>
    </xf>
    <xf numFmtId="44" fontId="34" fillId="42" borderId="27" xfId="0" applyNumberFormat="1" applyFont="1" applyFill="1" applyBorder="1" applyAlignment="1" applyProtection="1">
      <alignment horizontal="right" wrapText="1"/>
    </xf>
    <xf numFmtId="0" fontId="34" fillId="42" borderId="29" xfId="0" applyFont="1" applyFill="1" applyBorder="1" applyAlignment="1" applyProtection="1">
      <alignment horizontal="left"/>
    </xf>
    <xf numFmtId="43" fontId="34" fillId="42" borderId="27" xfId="28" applyNumberFormat="1" applyFont="1" applyFill="1" applyBorder="1" applyAlignment="1" applyProtection="1">
      <alignment horizontal="right" wrapText="1"/>
    </xf>
    <xf numFmtId="43" fontId="34" fillId="42" borderId="27" xfId="0" applyNumberFormat="1" applyFont="1" applyFill="1" applyBorder="1" applyAlignment="1" applyProtection="1">
      <alignment horizontal="right" wrapText="1"/>
    </xf>
    <xf numFmtId="41" fontId="34" fillId="34" borderId="27" xfId="28" applyNumberFormat="1" applyFont="1" applyFill="1" applyBorder="1" applyAlignment="1" applyProtection="1">
      <alignment horizontal="right" wrapText="1"/>
    </xf>
    <xf numFmtId="41" fontId="34" fillId="35" borderId="27" xfId="28" applyNumberFormat="1" applyFont="1" applyFill="1" applyBorder="1" applyAlignment="1" applyProtection="1">
      <alignment horizontal="right" wrapText="1"/>
    </xf>
    <xf numFmtId="0" fontId="34" fillId="42" borderId="5" xfId="0" applyFont="1" applyFill="1" applyBorder="1" applyAlignment="1" applyProtection="1">
      <alignment horizontal="left"/>
    </xf>
    <xf numFmtId="0" fontId="29" fillId="0" borderId="19" xfId="0" applyFont="1" applyBorder="1" applyAlignment="1" applyProtection="1"/>
    <xf numFmtId="0" fontId="29" fillId="0" borderId="6" xfId="0" applyFont="1" applyBorder="1" applyAlignment="1" applyProtection="1"/>
    <xf numFmtId="164" fontId="29" fillId="34" borderId="3" xfId="35" applyNumberFormat="1" applyFont="1" applyFill="1" applyBorder="1" applyProtection="1"/>
    <xf numFmtId="0" fontId="29" fillId="0" borderId="19" xfId="0" applyFont="1" applyBorder="1" applyAlignment="1" applyProtection="1">
      <alignment vertical="top"/>
    </xf>
    <xf numFmtId="0" fontId="29" fillId="39" borderId="3" xfId="0" applyFont="1" applyFill="1" applyBorder="1" applyAlignment="1" applyProtection="1">
      <alignment horizontal="center" wrapText="1"/>
    </xf>
    <xf numFmtId="0" fontId="38" fillId="0" borderId="19" xfId="0" applyFont="1" applyBorder="1" applyAlignment="1" applyProtection="1">
      <alignment horizontal="left" vertical="top" wrapText="1"/>
    </xf>
    <xf numFmtId="0" fontId="37" fillId="0" borderId="6" xfId="0" applyFont="1" applyBorder="1" applyAlignment="1" applyProtection="1">
      <alignment horizontal="left" vertical="top" wrapText="1"/>
    </xf>
    <xf numFmtId="0" fontId="29" fillId="0" borderId="19" xfId="0" applyFont="1" applyBorder="1" applyAlignment="1" applyProtection="1">
      <alignment horizontal="center" wrapText="1"/>
    </xf>
    <xf numFmtId="0" fontId="29" fillId="1" borderId="3" xfId="0" applyFont="1" applyFill="1" applyBorder="1" applyAlignment="1" applyProtection="1">
      <alignment wrapText="1"/>
    </xf>
    <xf numFmtId="49" fontId="34" fillId="0" borderId="27" xfId="0" applyNumberFormat="1" applyFont="1" applyFill="1" applyBorder="1" applyAlignment="1" applyProtection="1">
      <alignment horizontal="center" wrapText="1"/>
    </xf>
    <xf numFmtId="0" fontId="34" fillId="0" borderId="27" xfId="0" applyFont="1" applyFill="1" applyBorder="1" applyAlignment="1" applyProtection="1">
      <alignment horizontal="center" wrapText="1"/>
    </xf>
    <xf numFmtId="165" fontId="34" fillId="42" borderId="4" xfId="28" applyNumberFormat="1" applyFont="1" applyFill="1" applyBorder="1" applyAlignment="1" applyProtection="1">
      <alignment horizontal="right" wrapText="1"/>
    </xf>
    <xf numFmtId="165" fontId="34" fillId="42" borderId="27" xfId="28" applyNumberFormat="1" applyFont="1" applyFill="1" applyBorder="1" applyAlignment="1" applyProtection="1">
      <alignment horizontal="right" wrapText="1"/>
    </xf>
    <xf numFmtId="0" fontId="2" fillId="0" borderId="5" xfId="0" applyFont="1" applyFill="1" applyBorder="1" applyAlignment="1" applyProtection="1">
      <alignment horizontal="left"/>
    </xf>
    <xf numFmtId="49" fontId="34" fillId="0" borderId="3" xfId="0" applyNumberFormat="1" applyFont="1" applyFill="1" applyBorder="1" applyAlignment="1" applyProtection="1">
      <alignment horizontal="center" wrapText="1"/>
    </xf>
    <xf numFmtId="0" fontId="34" fillId="0" borderId="3" xfId="0" applyFont="1" applyFill="1" applyBorder="1" applyAlignment="1" applyProtection="1">
      <alignment horizontal="center" wrapText="1"/>
    </xf>
    <xf numFmtId="0" fontId="34" fillId="0" borderId="19" xfId="0" applyFont="1" applyFill="1" applyBorder="1" applyAlignment="1" applyProtection="1">
      <alignment horizontal="left" wrapText="1"/>
    </xf>
    <xf numFmtId="165" fontId="29" fillId="42" borderId="3" xfId="0" applyNumberFormat="1" applyFont="1" applyFill="1" applyBorder="1" applyAlignment="1" applyProtection="1"/>
    <xf numFmtId="0" fontId="33" fillId="0" borderId="6" xfId="0" applyFont="1" applyBorder="1" applyAlignment="1" applyProtection="1">
      <alignment vertical="top"/>
    </xf>
    <xf numFmtId="0" fontId="37" fillId="0" borderId="19" xfId="0" applyFont="1" applyBorder="1" applyAlignment="1" applyProtection="1">
      <alignment horizontal="left" vertical="top" wrapText="1"/>
    </xf>
    <xf numFmtId="49" fontId="34" fillId="0" borderId="21" xfId="0" applyNumberFormat="1" applyFont="1" applyFill="1" applyBorder="1" applyAlignment="1" applyProtection="1">
      <alignment horizontal="center" wrapText="1"/>
    </xf>
    <xf numFmtId="42" fontId="29" fillId="35" borderId="3" xfId="35" applyNumberFormat="1" applyFont="1" applyFill="1" applyBorder="1" applyProtection="1"/>
    <xf numFmtId="42" fontId="34" fillId="34" borderId="21" xfId="0" applyNumberFormat="1" applyFont="1" applyFill="1" applyBorder="1" applyAlignment="1" applyProtection="1">
      <alignment horizontal="right" wrapText="1"/>
    </xf>
    <xf numFmtId="42" fontId="34" fillId="35" borderId="21" xfId="0" applyNumberFormat="1" applyFont="1" applyFill="1" applyBorder="1" applyAlignment="1" applyProtection="1">
      <alignment horizontal="right" wrapText="1"/>
    </xf>
    <xf numFmtId="42" fontId="34" fillId="34" borderId="23" xfId="0" applyNumberFormat="1" applyFont="1" applyFill="1" applyBorder="1" applyAlignment="1" applyProtection="1">
      <alignment horizontal="right" wrapText="1"/>
    </xf>
    <xf numFmtId="42" fontId="34" fillId="35" borderId="23" xfId="0" applyNumberFormat="1" applyFont="1" applyFill="1" applyBorder="1" applyAlignment="1" applyProtection="1">
      <alignment horizontal="right" wrapText="1"/>
    </xf>
    <xf numFmtId="0" fontId="34" fillId="0" borderId="21" xfId="0" applyFont="1" applyFill="1" applyBorder="1" applyAlignment="1" applyProtection="1">
      <alignment horizontal="center" wrapText="1"/>
    </xf>
    <xf numFmtId="0" fontId="34" fillId="0" borderId="21" xfId="0" applyFont="1" applyFill="1" applyBorder="1" applyAlignment="1" applyProtection="1">
      <alignment horizontal="left"/>
    </xf>
    <xf numFmtId="49" fontId="34" fillId="0" borderId="4" xfId="0" applyNumberFormat="1" applyFont="1" applyFill="1" applyBorder="1" applyAlignment="1" applyProtection="1">
      <alignment horizontal="center" wrapText="1"/>
    </xf>
    <xf numFmtId="0" fontId="34" fillId="0" borderId="4" xfId="0" applyFont="1" applyFill="1" applyBorder="1" applyAlignment="1" applyProtection="1">
      <alignment horizontal="center" wrapText="1"/>
    </xf>
    <xf numFmtId="0" fontId="34" fillId="0" borderId="4" xfId="0" applyFont="1" applyFill="1" applyBorder="1" applyAlignment="1" applyProtection="1">
      <alignment horizontal="left"/>
    </xf>
    <xf numFmtId="0" fontId="34" fillId="0" borderId="5" xfId="0" applyFont="1" applyFill="1" applyBorder="1" applyAlignment="1" applyProtection="1">
      <alignment horizontal="left"/>
    </xf>
    <xf numFmtId="0" fontId="34" fillId="0" borderId="30" xfId="0" applyFont="1" applyFill="1" applyBorder="1" applyAlignment="1" applyProtection="1">
      <alignment horizontal="left" wrapText="1"/>
    </xf>
    <xf numFmtId="49" fontId="29" fillId="0" borderId="19" xfId="0" applyNumberFormat="1" applyFont="1" applyBorder="1" applyAlignment="1" applyProtection="1"/>
    <xf numFmtId="49" fontId="29" fillId="0" borderId="6" xfId="0" applyNumberFormat="1" applyFont="1" applyBorder="1" applyAlignment="1" applyProtection="1"/>
    <xf numFmtId="49" fontId="29" fillId="0" borderId="0" xfId="0" applyNumberFormat="1" applyFont="1" applyBorder="1" applyAlignment="1" applyProtection="1"/>
    <xf numFmtId="172" fontId="34" fillId="42" borderId="21" xfId="28" applyNumberFormat="1" applyFont="1" applyFill="1" applyBorder="1" applyAlignment="1" applyProtection="1">
      <alignment horizontal="right" wrapText="1"/>
    </xf>
    <xf numFmtId="164" fontId="29" fillId="34" borderId="20" xfId="35" applyNumberFormat="1" applyFont="1" applyFill="1" applyBorder="1" applyAlignment="1" applyProtection="1">
      <alignment horizontal="right" wrapText="1"/>
    </xf>
    <xf numFmtId="164" fontId="29" fillId="35" borderId="20" xfId="35" applyNumberFormat="1" applyFont="1" applyFill="1" applyBorder="1" applyAlignment="1" applyProtection="1">
      <alignment horizontal="right" wrapText="1"/>
    </xf>
    <xf numFmtId="0" fontId="29" fillId="0" borderId="3" xfId="0" applyFont="1" applyFill="1" applyBorder="1" applyAlignment="1" applyProtection="1">
      <alignment vertical="top"/>
    </xf>
    <xf numFmtId="164" fontId="29" fillId="0" borderId="0" xfId="35" applyNumberFormat="1" applyFont="1" applyFill="1" applyBorder="1" applyAlignment="1" applyProtection="1">
      <alignment horizontal="right" wrapText="1"/>
    </xf>
    <xf numFmtId="42" fontId="34" fillId="34" borderId="4" xfId="28" applyNumberFormat="1" applyFont="1" applyFill="1" applyBorder="1" applyAlignment="1" applyProtection="1">
      <alignment horizontal="right" wrapText="1"/>
    </xf>
    <xf numFmtId="41" fontId="34" fillId="34" borderId="26" xfId="28" applyNumberFormat="1" applyFont="1" applyFill="1" applyBorder="1" applyAlignment="1" applyProtection="1">
      <alignment horizontal="right" wrapText="1"/>
    </xf>
    <xf numFmtId="42" fontId="29" fillId="34" borderId="3" xfId="35" applyNumberFormat="1" applyFont="1" applyFill="1" applyBorder="1" applyAlignment="1" applyProtection="1">
      <alignment horizontal="right" wrapText="1"/>
    </xf>
    <xf numFmtId="42" fontId="29" fillId="35" borderId="3" xfId="35" applyNumberFormat="1" applyFont="1" applyFill="1" applyBorder="1" applyAlignment="1" applyProtection="1">
      <alignment horizontal="right" wrapText="1"/>
    </xf>
    <xf numFmtId="0" fontId="37" fillId="0" borderId="58" xfId="0" applyFont="1" applyBorder="1" applyAlignment="1" applyProtection="1">
      <alignment horizontal="left" vertical="top" wrapText="1"/>
    </xf>
    <xf numFmtId="49" fontId="34" fillId="0" borderId="26" xfId="0" applyNumberFormat="1" applyFont="1" applyFill="1" applyBorder="1" applyAlignment="1" applyProtection="1">
      <alignment horizontal="center" wrapText="1"/>
    </xf>
    <xf numFmtId="0" fontId="34" fillId="0" borderId="26" xfId="0" applyFont="1" applyFill="1" applyBorder="1" applyAlignment="1" applyProtection="1">
      <alignment horizontal="center" wrapText="1"/>
    </xf>
    <xf numFmtId="0" fontId="34" fillId="0" borderId="19" xfId="0" applyFont="1" applyFill="1" applyBorder="1" applyAlignment="1" applyProtection="1">
      <alignment horizontal="left"/>
    </xf>
    <xf numFmtId="0" fontId="34" fillId="0" borderId="6" xfId="0" applyFont="1" applyFill="1" applyBorder="1" applyAlignment="1" applyProtection="1">
      <alignment horizontal="left" wrapText="1"/>
    </xf>
    <xf numFmtId="165" fontId="34" fillId="42" borderId="3" xfId="28" applyNumberFormat="1" applyFont="1" applyFill="1" applyBorder="1" applyAlignment="1" applyProtection="1">
      <alignment horizontal="right" wrapText="1"/>
    </xf>
    <xf numFmtId="42" fontId="29" fillId="34" borderId="3" xfId="28" applyNumberFormat="1" applyFont="1" applyFill="1" applyBorder="1" applyAlignment="1" applyProtection="1">
      <alignment horizontal="right" wrapText="1"/>
    </xf>
    <xf numFmtId="42" fontId="29" fillId="35" borderId="3" xfId="28" applyNumberFormat="1" applyFont="1" applyFill="1" applyBorder="1" applyAlignment="1" applyProtection="1">
      <alignment horizontal="right" wrapText="1"/>
    </xf>
    <xf numFmtId="17" fontId="0" fillId="0" borderId="0" xfId="0" applyNumberFormat="1"/>
    <xf numFmtId="49" fontId="34" fillId="0" borderId="21" xfId="0" quotePrefix="1" applyNumberFormat="1" applyFont="1" applyFill="1" applyBorder="1" applyAlignment="1" applyProtection="1">
      <alignment horizontal="center" wrapText="1"/>
    </xf>
    <xf numFmtId="42" fontId="2" fillId="42" borderId="27" xfId="0" applyNumberFormat="1" applyFont="1" applyFill="1" applyBorder="1" applyAlignment="1" applyProtection="1">
      <alignment horizontal="right" wrapText="1"/>
      <protection locked="0"/>
    </xf>
    <xf numFmtId="42" fontId="34" fillId="34" borderId="27" xfId="0" applyNumberFormat="1" applyFont="1" applyFill="1" applyBorder="1" applyAlignment="1" applyProtection="1">
      <alignment horizontal="right" wrapText="1"/>
    </xf>
    <xf numFmtId="14" fontId="0" fillId="40" borderId="0" xfId="0" applyNumberFormat="1" applyFill="1"/>
    <xf numFmtId="0" fontId="0" fillId="40" borderId="0" xfId="0" applyFill="1"/>
    <xf numFmtId="0" fontId="42" fillId="40" borderId="0" xfId="0" applyFont="1" applyFill="1" applyAlignment="1">
      <alignment horizontal="center"/>
    </xf>
    <xf numFmtId="0" fontId="27" fillId="0" borderId="33" xfId="0" applyFont="1" applyBorder="1"/>
    <xf numFmtId="49" fontId="34" fillId="42" borderId="62" xfId="0" applyNumberFormat="1" applyFont="1" applyFill="1" applyBorder="1" applyAlignment="1" applyProtection="1">
      <alignment horizontal="center" wrapText="1"/>
    </xf>
    <xf numFmtId="0" fontId="34" fillId="42" borderId="63" xfId="0" applyFont="1" applyFill="1" applyBorder="1" applyAlignment="1" applyProtection="1">
      <alignment horizontal="center" wrapText="1"/>
    </xf>
    <xf numFmtId="43" fontId="34" fillId="40" borderId="64" xfId="0" applyNumberFormat="1" applyFont="1" applyFill="1" applyBorder="1" applyAlignment="1" applyProtection="1">
      <alignment horizontal="right" wrapText="1"/>
      <protection locked="0"/>
    </xf>
    <xf numFmtId="49" fontId="34" fillId="42" borderId="65" xfId="0" applyNumberFormat="1" applyFont="1" applyFill="1" applyBorder="1" applyAlignment="1" applyProtection="1">
      <alignment horizontal="center" wrapText="1"/>
    </xf>
    <xf numFmtId="42" fontId="2" fillId="40" borderId="67" xfId="0" applyNumberFormat="1" applyFont="1" applyFill="1" applyBorder="1" applyAlignment="1" applyProtection="1">
      <alignment horizontal="right" wrapText="1"/>
      <protection locked="0"/>
    </xf>
    <xf numFmtId="0" fontId="34" fillId="42" borderId="66" xfId="0" applyFont="1" applyFill="1" applyBorder="1" applyAlignment="1" applyProtection="1">
      <alignment horizontal="center" wrapText="1"/>
    </xf>
    <xf numFmtId="42" fontId="34" fillId="40" borderId="67" xfId="0" applyNumberFormat="1" applyFont="1" applyFill="1" applyBorder="1" applyAlignment="1" applyProtection="1">
      <alignment horizontal="right" wrapText="1"/>
      <protection locked="0"/>
    </xf>
    <xf numFmtId="41" fontId="34" fillId="40" borderId="67" xfId="0" applyNumberFormat="1" applyFont="1" applyFill="1" applyBorder="1" applyAlignment="1" applyProtection="1">
      <alignment horizontal="right" wrapText="1"/>
      <protection locked="0"/>
    </xf>
    <xf numFmtId="49" fontId="34" fillId="42" borderId="68" xfId="0" applyNumberFormat="1" applyFont="1" applyFill="1" applyBorder="1" applyAlignment="1" applyProtection="1">
      <alignment horizontal="center" wrapText="1"/>
    </xf>
    <xf numFmtId="0" fontId="34" fillId="42" borderId="69" xfId="0" applyFont="1" applyFill="1" applyBorder="1" applyAlignment="1" applyProtection="1">
      <alignment horizontal="center" wrapText="1"/>
    </xf>
    <xf numFmtId="41" fontId="34" fillId="40" borderId="71" xfId="0" applyNumberFormat="1" applyFont="1" applyFill="1" applyBorder="1" applyAlignment="1" applyProtection="1">
      <alignment horizontal="right" wrapText="1"/>
      <protection locked="0"/>
    </xf>
    <xf numFmtId="0" fontId="34" fillId="40" borderId="0" xfId="0" applyFont="1" applyFill="1" applyBorder="1" applyProtection="1">
      <protection locked="0"/>
    </xf>
    <xf numFmtId="0" fontId="34" fillId="40" borderId="0" xfId="0" applyFont="1" applyFill="1" applyProtection="1">
      <protection locked="0"/>
    </xf>
    <xf numFmtId="0" fontId="29" fillId="0" borderId="33" xfId="0" applyFont="1" applyBorder="1" applyProtection="1">
      <protection locked="0"/>
    </xf>
    <xf numFmtId="0" fontId="29" fillId="41" borderId="0" xfId="0" applyFont="1" applyFill="1" applyAlignment="1" applyProtection="1">
      <alignment horizontal="left"/>
    </xf>
    <xf numFmtId="0" fontId="32" fillId="41" borderId="0" xfId="0" applyFont="1" applyFill="1" applyAlignment="1" applyProtection="1">
      <alignment horizontal="right"/>
    </xf>
    <xf numFmtId="0" fontId="3" fillId="41" borderId="0" xfId="0" applyFont="1" applyFill="1" applyAlignment="1" applyProtection="1">
      <alignment horizontal="left"/>
    </xf>
    <xf numFmtId="0" fontId="29" fillId="33" borderId="0" xfId="0" applyFont="1" applyFill="1" applyAlignment="1" applyProtection="1"/>
    <xf numFmtId="42" fontId="34" fillId="42" borderId="4" xfId="28" applyNumberFormat="1" applyFont="1" applyFill="1" applyBorder="1" applyAlignment="1" applyProtection="1">
      <alignment horizontal="right" wrapText="1"/>
    </xf>
    <xf numFmtId="43" fontId="34" fillId="42" borderId="4" xfId="0" applyNumberFormat="1" applyFont="1" applyFill="1" applyBorder="1" applyAlignment="1" applyProtection="1">
      <alignment horizontal="right" wrapText="1"/>
    </xf>
    <xf numFmtId="0" fontId="34" fillId="0" borderId="6" xfId="0" applyFont="1" applyBorder="1" applyProtection="1"/>
    <xf numFmtId="42" fontId="2" fillId="42" borderId="21" xfId="0" applyNumberFormat="1" applyFont="1" applyFill="1" applyBorder="1" applyAlignment="1" applyProtection="1">
      <alignment horizontal="right" wrapText="1"/>
    </xf>
    <xf numFmtId="42" fontId="2" fillId="42" borderId="27" xfId="0" applyNumberFormat="1" applyFont="1" applyFill="1" applyBorder="1" applyAlignment="1" applyProtection="1">
      <alignment horizontal="right" wrapText="1"/>
    </xf>
    <xf numFmtId="42" fontId="2" fillId="42" borderId="2" xfId="0" applyNumberFormat="1" applyFont="1" applyFill="1" applyBorder="1" applyAlignment="1" applyProtection="1">
      <alignment horizontal="right" wrapText="1"/>
    </xf>
    <xf numFmtId="39" fontId="34" fillId="42" borderId="4" xfId="28" applyNumberFormat="1" applyFont="1" applyFill="1" applyBorder="1" applyAlignment="1" applyProtection="1">
      <alignment horizontal="right" wrapText="1"/>
    </xf>
    <xf numFmtId="42" fontId="34" fillId="42" borderId="4" xfId="0" applyNumberFormat="1" applyFont="1" applyFill="1" applyBorder="1" applyAlignment="1" applyProtection="1">
      <alignment horizontal="right" wrapText="1"/>
    </xf>
    <xf numFmtId="41" fontId="34" fillId="42" borderId="26" xfId="0" applyNumberFormat="1" applyFont="1" applyFill="1" applyBorder="1" applyAlignment="1" applyProtection="1">
      <alignment horizontal="right" wrapText="1"/>
    </xf>
    <xf numFmtId="0" fontId="34" fillId="42" borderId="0" xfId="0" applyFont="1" applyFill="1" applyProtection="1"/>
    <xf numFmtId="49" fontId="34" fillId="42" borderId="21" xfId="0" quotePrefix="1" applyNumberFormat="1" applyFont="1" applyFill="1" applyBorder="1" applyAlignment="1" applyProtection="1">
      <alignment horizontal="center" wrapText="1"/>
    </xf>
    <xf numFmtId="49" fontId="34" fillId="42" borderId="3" xfId="0" applyNumberFormat="1" applyFont="1" applyFill="1" applyBorder="1" applyAlignment="1" applyProtection="1">
      <alignment horizontal="center" wrapText="1"/>
    </xf>
    <xf numFmtId="0" fontId="34" fillId="42" borderId="3" xfId="0" applyFont="1" applyFill="1" applyBorder="1" applyAlignment="1" applyProtection="1">
      <alignment horizontal="center" wrapText="1"/>
    </xf>
    <xf numFmtId="0" fontId="34" fillId="42" borderId="19" xfId="0" applyFont="1" applyFill="1" applyBorder="1" applyAlignment="1" applyProtection="1">
      <alignment horizontal="left"/>
    </xf>
    <xf numFmtId="0" fontId="34" fillId="42" borderId="6" xfId="0" applyFont="1" applyFill="1" applyBorder="1" applyAlignment="1" applyProtection="1">
      <alignment horizontal="left" wrapText="1"/>
    </xf>
    <xf numFmtId="0" fontId="43" fillId="0" borderId="0" xfId="77"/>
    <xf numFmtId="0" fontId="44" fillId="0" borderId="0" xfId="77" applyFont="1"/>
    <xf numFmtId="0" fontId="46" fillId="0" borderId="0" xfId="77" applyFont="1" applyFill="1" applyBorder="1" applyAlignment="1" applyProtection="1">
      <alignment horizontal="center"/>
    </xf>
    <xf numFmtId="0" fontId="43" fillId="0" borderId="0" xfId="77" applyAlignment="1">
      <alignment vertical="center"/>
    </xf>
    <xf numFmtId="0" fontId="50" fillId="45" borderId="72" xfId="77" applyFont="1" applyFill="1" applyBorder="1"/>
    <xf numFmtId="0" fontId="47" fillId="0" borderId="51" xfId="77" applyFont="1" applyFill="1" applyBorder="1"/>
    <xf numFmtId="0" fontId="6" fillId="0" borderId="0" xfId="77" applyFont="1" applyFill="1" applyBorder="1"/>
    <xf numFmtId="0" fontId="43" fillId="0" borderId="73" xfId="77" applyFill="1" applyBorder="1"/>
    <xf numFmtId="0" fontId="43" fillId="0" borderId="73" xfId="77" applyBorder="1"/>
    <xf numFmtId="0" fontId="46" fillId="0" borderId="74" xfId="77" applyFont="1" applyBorder="1"/>
    <xf numFmtId="0" fontId="43" fillId="0" borderId="33" xfId="77" applyBorder="1"/>
    <xf numFmtId="0" fontId="43" fillId="0" borderId="75" xfId="77" applyBorder="1"/>
    <xf numFmtId="0" fontId="49" fillId="0" borderId="51" xfId="77" applyFont="1" applyBorder="1" applyAlignment="1">
      <alignment horizontal="left" indent="1"/>
    </xf>
    <xf numFmtId="0" fontId="50" fillId="45" borderId="58" xfId="77" applyFont="1" applyFill="1" applyBorder="1" applyAlignment="1">
      <alignment horizontal="center"/>
    </xf>
    <xf numFmtId="0" fontId="6" fillId="46" borderId="76" xfId="77" applyFont="1" applyFill="1" applyBorder="1"/>
    <xf numFmtId="0" fontId="43" fillId="46" borderId="77" xfId="77" applyFill="1" applyBorder="1"/>
    <xf numFmtId="0" fontId="47" fillId="46" borderId="78" xfId="77" applyFont="1" applyFill="1" applyBorder="1" applyAlignment="1">
      <alignment horizontal="left" indent="1"/>
    </xf>
    <xf numFmtId="0" fontId="50" fillId="45" borderId="80" xfId="77" applyFont="1" applyFill="1" applyBorder="1" applyAlignment="1">
      <alignment horizontal="center"/>
    </xf>
    <xf numFmtId="0" fontId="47" fillId="0" borderId="0" xfId="77" applyFont="1" applyFill="1" applyBorder="1"/>
    <xf numFmtId="0" fontId="46" fillId="0" borderId="33" xfId="77" applyFont="1" applyBorder="1"/>
    <xf numFmtId="0" fontId="47" fillId="46" borderId="76" xfId="77" applyFont="1" applyFill="1" applyBorder="1"/>
    <xf numFmtId="0" fontId="49" fillId="0" borderId="0" xfId="77" applyFont="1" applyBorder="1" applyAlignment="1">
      <alignment horizontal="left" indent="1"/>
    </xf>
    <xf numFmtId="0" fontId="6" fillId="46" borderId="77" xfId="77" applyFont="1" applyFill="1" applyBorder="1"/>
    <xf numFmtId="0" fontId="46" fillId="0" borderId="3" xfId="77" applyFont="1" applyFill="1" applyBorder="1" applyAlignment="1" applyProtection="1">
      <alignment horizontal="center"/>
    </xf>
    <xf numFmtId="0" fontId="48" fillId="0" borderId="33" xfId="77" applyFont="1" applyBorder="1" applyAlignment="1">
      <alignment horizontal="left"/>
    </xf>
    <xf numFmtId="0" fontId="48" fillId="0" borderId="33" xfId="77" applyFont="1" applyBorder="1"/>
    <xf numFmtId="0" fontId="48" fillId="0" borderId="6" xfId="77" applyFont="1" applyBorder="1"/>
    <xf numFmtId="0" fontId="45" fillId="0" borderId="6" xfId="77" applyFont="1" applyBorder="1"/>
    <xf numFmtId="0" fontId="44" fillId="0" borderId="6" xfId="77" applyFont="1" applyBorder="1"/>
    <xf numFmtId="0" fontId="1" fillId="0" borderId="6" xfId="77" applyFont="1" applyBorder="1"/>
    <xf numFmtId="0" fontId="43" fillId="0" borderId="0" xfId="77" applyBorder="1" applyAlignment="1">
      <alignment vertical="center"/>
    </xf>
    <xf numFmtId="0" fontId="48" fillId="0" borderId="6" xfId="77" applyFont="1" applyBorder="1" applyAlignment="1">
      <alignment vertical="top"/>
    </xf>
    <xf numFmtId="0" fontId="46" fillId="0" borderId="6" xfId="77" applyFont="1" applyBorder="1" applyAlignment="1">
      <alignment vertical="center"/>
    </xf>
    <xf numFmtId="0" fontId="43" fillId="0" borderId="6" xfId="77" applyBorder="1" applyAlignment="1">
      <alignment vertical="center"/>
    </xf>
    <xf numFmtId="0" fontId="49" fillId="0" borderId="51" xfId="77" applyFont="1" applyBorder="1" applyAlignment="1">
      <alignment horizontal="left" wrapText="1" indent="1"/>
    </xf>
    <xf numFmtId="0" fontId="49" fillId="0" borderId="3" xfId="77" applyFont="1" applyFill="1" applyBorder="1" applyAlignment="1" applyProtection="1">
      <alignment horizontal="center"/>
    </xf>
    <xf numFmtId="0" fontId="51" fillId="0" borderId="51" xfId="77" applyFont="1" applyBorder="1" applyAlignment="1">
      <alignment horizontal="left" indent="1"/>
    </xf>
    <xf numFmtId="0" fontId="49" fillId="0" borderId="51" xfId="77" applyFont="1" applyFill="1" applyBorder="1" applyAlignment="1">
      <alignment horizontal="left" indent="1"/>
    </xf>
    <xf numFmtId="0" fontId="47" fillId="0" borderId="51" xfId="77" applyFont="1" applyBorder="1" applyAlignment="1">
      <alignment horizontal="left" indent="1"/>
    </xf>
    <xf numFmtId="0" fontId="51" fillId="0" borderId="51" xfId="77" applyFont="1" applyBorder="1" applyAlignment="1">
      <alignment horizontal="left" wrapText="1" indent="1"/>
    </xf>
    <xf numFmtId="0" fontId="46" fillId="0" borderId="58" xfId="77" applyFont="1" applyFill="1" applyBorder="1" applyAlignment="1" applyProtection="1">
      <alignment horizontal="center"/>
    </xf>
    <xf numFmtId="0" fontId="48" fillId="0" borderId="0" xfId="77" applyFont="1" applyBorder="1" applyAlignment="1">
      <alignment vertical="top"/>
    </xf>
    <xf numFmtId="0" fontId="46" fillId="0" borderId="0" xfId="77" applyFont="1" applyBorder="1" applyAlignment="1">
      <alignment vertical="center"/>
    </xf>
    <xf numFmtId="0" fontId="52" fillId="0" borderId="0" xfId="0" applyFont="1" applyAlignment="1">
      <alignment vertical="center"/>
    </xf>
    <xf numFmtId="0" fontId="34" fillId="33" borderId="21" xfId="0" applyFont="1" applyFill="1" applyBorder="1" applyAlignment="1" applyProtection="1">
      <alignment horizontal="left"/>
      <protection locked="0"/>
    </xf>
    <xf numFmtId="0" fontId="34" fillId="33" borderId="27" xfId="0" applyFont="1" applyFill="1" applyBorder="1" applyAlignment="1" applyProtection="1">
      <alignment horizontal="left"/>
      <protection locked="0"/>
    </xf>
    <xf numFmtId="0" fontId="34" fillId="33" borderId="4" xfId="0" applyFont="1" applyFill="1" applyBorder="1" applyAlignment="1" applyProtection="1">
      <alignment horizontal="left"/>
      <protection locked="0"/>
    </xf>
    <xf numFmtId="14" fontId="34" fillId="33" borderId="29" xfId="0" applyNumberFormat="1" applyFont="1" applyFill="1" applyBorder="1" applyAlignment="1" applyProtection="1">
      <alignment horizontal="right" wrapText="1"/>
      <protection locked="0"/>
    </xf>
    <xf numFmtId="174" fontId="34" fillId="33" borderId="21" xfId="0" applyNumberFormat="1" applyFont="1" applyFill="1" applyBorder="1" applyAlignment="1" applyProtection="1">
      <alignment horizontal="center" wrapText="1"/>
      <protection locked="0"/>
    </xf>
    <xf numFmtId="174" fontId="34" fillId="33" borderId="27" xfId="0" applyNumberFormat="1" applyFont="1" applyFill="1" applyBorder="1" applyAlignment="1" applyProtection="1">
      <alignment horizontal="center" wrapText="1"/>
      <protection locked="0"/>
    </xf>
    <xf numFmtId="0" fontId="29" fillId="0" borderId="19" xfId="0" applyFont="1" applyBorder="1" applyAlignment="1" applyProtection="1">
      <alignment horizontal="center" wrapText="1"/>
    </xf>
    <xf numFmtId="0" fontId="29" fillId="0" borderId="6" xfId="0" applyFont="1" applyBorder="1" applyAlignment="1" applyProtection="1">
      <alignment horizontal="center" wrapText="1"/>
    </xf>
    <xf numFmtId="0" fontId="29" fillId="34" borderId="19" xfId="0" applyFont="1" applyFill="1" applyBorder="1" applyAlignment="1" applyProtection="1">
      <alignment horizontal="center" wrapText="1"/>
    </xf>
    <xf numFmtId="0" fontId="34" fillId="0" borderId="19" xfId="0" applyFont="1" applyFill="1" applyBorder="1" applyAlignment="1" applyProtection="1">
      <alignment horizontal="left" wrapText="1"/>
    </xf>
    <xf numFmtId="0" fontId="34" fillId="42" borderId="30" xfId="0" applyFont="1" applyFill="1" applyBorder="1" applyAlignment="1" applyProtection="1">
      <alignment horizontal="left" wrapText="1"/>
    </xf>
    <xf numFmtId="0" fontId="2" fillId="42" borderId="5" xfId="0" applyFont="1" applyFill="1" applyBorder="1" applyAlignment="1" applyProtection="1">
      <alignment horizontal="left"/>
    </xf>
    <xf numFmtId="44" fontId="34" fillId="40" borderId="21" xfId="35" applyFont="1" applyFill="1" applyBorder="1" applyAlignment="1" applyProtection="1">
      <alignment horizontal="right" wrapText="1"/>
      <protection locked="0"/>
    </xf>
    <xf numFmtId="44" fontId="34" fillId="40" borderId="4" xfId="35" applyFont="1" applyFill="1" applyBorder="1" applyAlignment="1" applyProtection="1">
      <alignment horizontal="right" wrapText="1"/>
      <protection locked="0"/>
    </xf>
    <xf numFmtId="44" fontId="34" fillId="40" borderId="27" xfId="35" applyFont="1" applyFill="1" applyBorder="1" applyAlignment="1" applyProtection="1">
      <alignment horizontal="right" wrapText="1"/>
      <protection locked="0"/>
    </xf>
    <xf numFmtId="0" fontId="12" fillId="0" borderId="0" xfId="0" applyFont="1"/>
    <xf numFmtId="0" fontId="54" fillId="0" borderId="0" xfId="78" applyFont="1"/>
    <xf numFmtId="169" fontId="54" fillId="0" borderId="0" xfId="78" applyNumberFormat="1" applyFont="1"/>
    <xf numFmtId="170" fontId="54" fillId="0" borderId="0" xfId="78" applyNumberFormat="1" applyFont="1"/>
    <xf numFmtId="49" fontId="34" fillId="0" borderId="51" xfId="0" applyNumberFormat="1" applyFont="1" applyFill="1" applyBorder="1" applyAlignment="1" applyProtection="1">
      <alignment horizontal="center" wrapText="1"/>
    </xf>
    <xf numFmtId="0" fontId="34" fillId="0" borderId="0" xfId="0" applyFont="1" applyFill="1" applyBorder="1" applyAlignment="1" applyProtection="1">
      <alignment horizontal="center" wrapText="1"/>
    </xf>
    <xf numFmtId="0" fontId="34" fillId="0" borderId="0" xfId="0" applyFont="1" applyFill="1" applyBorder="1" applyAlignment="1" applyProtection="1">
      <alignment horizontal="left"/>
    </xf>
    <xf numFmtId="39" fontId="34" fillId="0" borderId="13" xfId="28" applyNumberFormat="1" applyFont="1" applyFill="1" applyBorder="1" applyAlignment="1" applyProtection="1">
      <alignment horizontal="right" wrapText="1"/>
    </xf>
    <xf numFmtId="165" fontId="34" fillId="0" borderId="13" xfId="28" applyNumberFormat="1" applyFont="1" applyFill="1" applyBorder="1" applyAlignment="1" applyProtection="1">
      <alignment horizontal="right" wrapText="1"/>
    </xf>
    <xf numFmtId="42" fontId="34" fillId="0" borderId="13" xfId="28" applyNumberFormat="1" applyFont="1" applyFill="1" applyBorder="1" applyAlignment="1" applyProtection="1">
      <alignment horizontal="right" wrapText="1"/>
    </xf>
    <xf numFmtId="0" fontId="41" fillId="0" borderId="0" xfId="66" applyFont="1" applyAlignment="1">
      <alignment horizontal="left" wrapText="1"/>
    </xf>
    <xf numFmtId="0" fontId="29" fillId="0" borderId="19" xfId="0" applyFont="1" applyBorder="1" applyAlignment="1" applyProtection="1">
      <alignment horizontal="left" vertical="top" wrapText="1"/>
    </xf>
    <xf numFmtId="42" fontId="34" fillId="34" borderId="27" xfId="28" applyNumberFormat="1" applyFont="1" applyFill="1" applyBorder="1" applyAlignment="1" applyProtection="1">
      <alignment horizontal="left" wrapText="1"/>
    </xf>
    <xf numFmtId="42" fontId="34" fillId="35" borderId="27" xfId="28" applyNumberFormat="1" applyFont="1" applyFill="1" applyBorder="1" applyAlignment="1" applyProtection="1">
      <alignment horizontal="left" wrapText="1"/>
    </xf>
    <xf numFmtId="41" fontId="34" fillId="34" borderId="27" xfId="28" applyNumberFormat="1" applyFont="1" applyFill="1" applyBorder="1" applyAlignment="1" applyProtection="1">
      <alignment horizontal="left" wrapText="1"/>
    </xf>
    <xf numFmtId="39" fontId="34" fillId="0" borderId="13" xfId="28" applyNumberFormat="1" applyFont="1" applyFill="1" applyBorder="1" applyAlignment="1" applyProtection="1">
      <alignment horizontal="right" wrapText="1"/>
      <protection locked="0"/>
    </xf>
    <xf numFmtId="0" fontId="29" fillId="0" borderId="38" xfId="0" applyFont="1" applyFill="1" applyBorder="1" applyAlignment="1" applyProtection="1"/>
    <xf numFmtId="0" fontId="29" fillId="0" borderId="24" xfId="0" applyFont="1" applyFill="1" applyBorder="1" applyAlignment="1" applyProtection="1"/>
    <xf numFmtId="49" fontId="34" fillId="42" borderId="4" xfId="0" quotePrefix="1" applyNumberFormat="1" applyFont="1" applyFill="1" applyBorder="1" applyAlignment="1" applyProtection="1">
      <alignment horizontal="center" wrapText="1"/>
    </xf>
    <xf numFmtId="49" fontId="34" fillId="42" borderId="1" xfId="0" applyNumberFormat="1" applyFont="1" applyFill="1" applyBorder="1" applyAlignment="1" applyProtection="1">
      <alignment horizontal="center" wrapText="1"/>
    </xf>
    <xf numFmtId="0" fontId="50" fillId="45" borderId="79" xfId="77" applyFont="1" applyFill="1" applyBorder="1" applyAlignment="1">
      <alignment horizontal="center"/>
    </xf>
    <xf numFmtId="0" fontId="53" fillId="0" borderId="33" xfId="0" applyFont="1" applyBorder="1" applyAlignment="1">
      <alignment horizontal="center" vertical="center"/>
    </xf>
    <xf numFmtId="0" fontId="2" fillId="42" borderId="66" xfId="0" applyFont="1" applyFill="1" applyBorder="1" applyAlignment="1" applyProtection="1">
      <alignment horizontal="left"/>
    </xf>
    <xf numFmtId="0" fontId="2" fillId="42" borderId="70" xfId="0" applyFont="1" applyFill="1" applyBorder="1" applyAlignment="1" applyProtection="1">
      <alignment horizontal="left"/>
    </xf>
    <xf numFmtId="0" fontId="34" fillId="42" borderId="63" xfId="0" applyFont="1" applyFill="1" applyBorder="1" applyAlignment="1" applyProtection="1">
      <alignment horizontal="left"/>
    </xf>
    <xf numFmtId="0" fontId="29" fillId="0" borderId="19" xfId="0" applyFont="1" applyBorder="1" applyAlignment="1" applyProtection="1">
      <alignment horizontal="left" wrapText="1"/>
    </xf>
    <xf numFmtId="0" fontId="29" fillId="0" borderId="6" xfId="0" applyFont="1" applyBorder="1" applyAlignment="1" applyProtection="1">
      <alignment horizontal="left" wrapText="1"/>
    </xf>
    <xf numFmtId="0" fontId="2" fillId="42" borderId="66" xfId="0" applyFont="1" applyFill="1" applyBorder="1" applyAlignment="1" applyProtection="1">
      <alignment horizontal="left" wrapText="1"/>
    </xf>
    <xf numFmtId="0" fontId="3" fillId="0" borderId="37" xfId="0" applyFont="1" applyFill="1" applyBorder="1" applyAlignment="1" applyProtection="1">
      <alignment horizontal="left"/>
    </xf>
    <xf numFmtId="0" fontId="3" fillId="0" borderId="25" xfId="0" applyFont="1" applyFill="1" applyBorder="1" applyAlignment="1" applyProtection="1">
      <alignment horizontal="left"/>
    </xf>
    <xf numFmtId="0" fontId="29" fillId="33" borderId="16" xfId="0" applyFont="1" applyFill="1" applyBorder="1" applyAlignment="1" applyProtection="1">
      <alignment horizontal="left" wrapText="1"/>
    </xf>
    <xf numFmtId="0" fontId="29" fillId="33" borderId="15" xfId="0" applyFont="1" applyFill="1" applyBorder="1" applyAlignment="1" applyProtection="1">
      <alignment horizontal="left" wrapText="1"/>
    </xf>
    <xf numFmtId="0" fontId="29" fillId="40" borderId="16" xfId="0" applyFont="1" applyFill="1" applyBorder="1" applyAlignment="1" applyProtection="1">
      <alignment horizontal="left" wrapText="1"/>
    </xf>
    <xf numFmtId="0" fontId="29" fillId="40" borderId="15" xfId="0" applyFont="1" applyFill="1" applyBorder="1" applyAlignment="1" applyProtection="1">
      <alignment horizontal="left" wrapText="1"/>
    </xf>
    <xf numFmtId="0" fontId="29" fillId="0" borderId="16" xfId="0" applyFont="1" applyBorder="1" applyAlignment="1">
      <alignment horizontal="left" wrapText="1"/>
    </xf>
    <xf numFmtId="0" fontId="29" fillId="0" borderId="15" xfId="0" applyFont="1" applyBorder="1" applyAlignment="1">
      <alignment horizontal="left" wrapText="1"/>
    </xf>
    <xf numFmtId="0" fontId="29" fillId="33" borderId="33" xfId="0" applyFont="1" applyFill="1" applyBorder="1" applyAlignment="1">
      <alignment horizontal="left" wrapText="1"/>
    </xf>
    <xf numFmtId="0" fontId="29" fillId="33" borderId="33" xfId="0" applyFont="1" applyFill="1" applyBorder="1" applyAlignment="1" applyProtection="1">
      <alignment horizontal="left"/>
    </xf>
    <xf numFmtId="0" fontId="29" fillId="33" borderId="6" xfId="0" applyFont="1" applyFill="1" applyBorder="1" applyAlignment="1" applyProtection="1">
      <alignment horizontal="left"/>
    </xf>
    <xf numFmtId="0" fontId="29" fillId="0" borderId="52" xfId="0" applyFont="1" applyBorder="1" applyAlignment="1" applyProtection="1">
      <alignment horizontal="left" wrapText="1"/>
    </xf>
    <xf numFmtId="0" fontId="29" fillId="0" borderId="53" xfId="0" applyFont="1" applyBorder="1" applyAlignment="1" applyProtection="1">
      <alignment horizontal="left" wrapText="1"/>
    </xf>
    <xf numFmtId="0" fontId="29" fillId="0" borderId="16" xfId="0" applyFont="1" applyBorder="1" applyAlignment="1" applyProtection="1">
      <alignment horizontal="left" wrapText="1"/>
    </xf>
    <xf numFmtId="0" fontId="29" fillId="0" borderId="15" xfId="0" applyFont="1" applyBorder="1" applyAlignment="1" applyProtection="1">
      <alignment horizontal="left" wrapText="1"/>
    </xf>
    <xf numFmtId="0" fontId="3" fillId="33" borderId="0" xfId="0" applyFont="1" applyFill="1" applyBorder="1" applyAlignment="1" applyProtection="1">
      <alignment horizontal="left" wrapText="1"/>
    </xf>
    <xf numFmtId="0" fontId="3" fillId="33" borderId="56" xfId="0" applyFont="1" applyFill="1" applyBorder="1" applyAlignment="1" applyProtection="1">
      <alignment horizontal="left" wrapText="1"/>
    </xf>
    <xf numFmtId="0" fontId="3" fillId="33" borderId="33" xfId="0" applyFont="1" applyFill="1" applyBorder="1" applyAlignment="1" applyProtection="1">
      <alignment horizontal="left" wrapText="1"/>
    </xf>
    <xf numFmtId="0" fontId="3" fillId="33" borderId="57" xfId="0" applyFont="1" applyFill="1" applyBorder="1" applyAlignment="1" applyProtection="1">
      <alignment horizontal="left" wrapText="1"/>
    </xf>
    <xf numFmtId="0" fontId="29" fillId="0" borderId="35" xfId="0" applyFont="1" applyBorder="1" applyAlignment="1" applyProtection="1">
      <alignment horizontal="left" wrapText="1"/>
    </xf>
    <xf numFmtId="0" fontId="29" fillId="0" borderId="36" xfId="0" applyFont="1" applyBorder="1" applyAlignment="1" applyProtection="1">
      <alignment horizontal="left" wrapText="1"/>
    </xf>
    <xf numFmtId="0" fontId="3" fillId="0" borderId="24" xfId="0" applyFont="1" applyFill="1" applyBorder="1" applyAlignment="1" applyProtection="1">
      <alignment horizontal="left"/>
    </xf>
    <xf numFmtId="0" fontId="29" fillId="0" borderId="33" xfId="0" applyFont="1" applyFill="1" applyBorder="1" applyAlignment="1" applyProtection="1">
      <alignment horizontal="left"/>
    </xf>
    <xf numFmtId="0" fontId="29" fillId="0" borderId="33" xfId="0" applyFont="1" applyFill="1" applyBorder="1" applyAlignment="1">
      <alignment horizontal="left" wrapText="1"/>
    </xf>
    <xf numFmtId="0" fontId="29" fillId="0" borderId="48" xfId="0" applyFont="1" applyBorder="1" applyAlignment="1" applyProtection="1">
      <alignment horizontal="left" wrapText="1"/>
    </xf>
    <xf numFmtId="0" fontId="29" fillId="0" borderId="49" xfId="0" applyFont="1" applyBorder="1" applyAlignment="1" applyProtection="1">
      <alignment horizontal="left" wrapText="1"/>
    </xf>
    <xf numFmtId="0" fontId="29" fillId="0" borderId="28" xfId="0" applyFont="1" applyBorder="1" applyAlignment="1" applyProtection="1">
      <alignment horizontal="left" wrapText="1"/>
    </xf>
    <xf numFmtId="0" fontId="29" fillId="0" borderId="19" xfId="0" applyFont="1" applyBorder="1" applyAlignment="1" applyProtection="1">
      <alignment horizontal="center" wrapText="1"/>
    </xf>
    <xf numFmtId="0" fontId="29" fillId="0" borderId="6" xfId="0" applyFont="1" applyBorder="1" applyAlignment="1" applyProtection="1">
      <alignment horizontal="center" wrapText="1"/>
    </xf>
    <xf numFmtId="0" fontId="29" fillId="0" borderId="51" xfId="0" applyFont="1" applyBorder="1" applyAlignment="1" applyProtection="1">
      <alignment horizontal="center" wrapText="1"/>
      <protection locked="0"/>
    </xf>
    <xf numFmtId="0" fontId="29" fillId="34" borderId="19" xfId="0" applyFont="1" applyFill="1" applyBorder="1" applyAlignment="1" applyProtection="1">
      <alignment horizontal="center" wrapText="1"/>
    </xf>
    <xf numFmtId="0" fontId="29" fillId="34" borderId="22" xfId="0" applyFont="1" applyFill="1" applyBorder="1" applyAlignment="1" applyProtection="1">
      <alignment horizontal="center" wrapText="1"/>
    </xf>
    <xf numFmtId="0" fontId="29" fillId="35" borderId="19" xfId="0" applyFont="1" applyFill="1" applyBorder="1" applyAlignment="1" applyProtection="1">
      <alignment horizontal="center" wrapText="1"/>
    </xf>
    <xf numFmtId="0" fontId="29" fillId="35" borderId="22" xfId="0" applyFont="1" applyFill="1" applyBorder="1" applyAlignment="1" applyProtection="1">
      <alignment horizontal="center" wrapText="1"/>
    </xf>
    <xf numFmtId="0" fontId="29" fillId="34" borderId="6" xfId="0" applyFont="1" applyFill="1" applyBorder="1" applyAlignment="1" applyProtection="1">
      <alignment horizontal="center" wrapText="1"/>
    </xf>
    <xf numFmtId="0" fontId="29" fillId="35" borderId="6" xfId="0" applyFont="1" applyFill="1" applyBorder="1" applyAlignment="1" applyProtection="1">
      <alignment horizontal="center" wrapText="1"/>
    </xf>
    <xf numFmtId="0" fontId="34" fillId="0" borderId="19" xfId="0" applyFont="1" applyFill="1" applyBorder="1" applyAlignment="1" applyProtection="1">
      <alignment horizontal="left" wrapText="1"/>
    </xf>
    <xf numFmtId="0" fontId="34" fillId="0" borderId="22" xfId="0" applyFont="1" applyFill="1" applyBorder="1" applyAlignment="1" applyProtection="1">
      <alignment horizontal="left" wrapText="1"/>
    </xf>
    <xf numFmtId="0" fontId="34" fillId="0" borderId="30" xfId="0" applyFont="1" applyBorder="1" applyAlignment="1" applyProtection="1">
      <alignment horizontal="left" wrapText="1"/>
    </xf>
    <xf numFmtId="0" fontId="34" fillId="0" borderId="31" xfId="0" applyFont="1" applyBorder="1" applyAlignment="1" applyProtection="1">
      <alignment horizontal="left" wrapText="1"/>
    </xf>
    <xf numFmtId="0" fontId="34" fillId="0" borderId="32" xfId="0" applyFont="1" applyBorder="1" applyAlignment="1" applyProtection="1">
      <alignment horizontal="left" wrapText="1"/>
    </xf>
    <xf numFmtId="0" fontId="2" fillId="0" borderId="5" xfId="0" applyFont="1" applyFill="1" applyBorder="1" applyAlignment="1" applyProtection="1">
      <alignment horizontal="left" wrapText="1"/>
    </xf>
    <xf numFmtId="0" fontId="2" fillId="0" borderId="15" xfId="0" applyFont="1" applyFill="1" applyBorder="1" applyAlignment="1" applyProtection="1">
      <alignment horizontal="left" wrapText="1"/>
    </xf>
    <xf numFmtId="0" fontId="2" fillId="0" borderId="28" xfId="0" applyFont="1" applyFill="1" applyBorder="1" applyAlignment="1" applyProtection="1">
      <alignment horizontal="left" wrapText="1"/>
    </xf>
    <xf numFmtId="0" fontId="2" fillId="0" borderId="34" xfId="0" applyFont="1" applyFill="1" applyBorder="1" applyAlignment="1" applyProtection="1">
      <alignment horizontal="left" wrapText="1"/>
    </xf>
    <xf numFmtId="0" fontId="2" fillId="0" borderId="60" xfId="0" applyFont="1" applyFill="1" applyBorder="1" applyAlignment="1" applyProtection="1">
      <alignment horizontal="left" wrapText="1"/>
    </xf>
    <xf numFmtId="0" fontId="2" fillId="0" borderId="59" xfId="0" applyFont="1" applyFill="1" applyBorder="1" applyAlignment="1" applyProtection="1">
      <alignment horizontal="left" wrapText="1"/>
    </xf>
    <xf numFmtId="0" fontId="2" fillId="0" borderId="5" xfId="0" applyFont="1" applyFill="1" applyBorder="1" applyAlignment="1" applyProtection="1">
      <alignment horizontal="left"/>
    </xf>
    <xf numFmtId="0" fontId="2" fillId="0" borderId="28" xfId="0" applyFont="1" applyFill="1" applyBorder="1" applyAlignment="1" applyProtection="1">
      <alignment horizontal="left"/>
    </xf>
    <xf numFmtId="0" fontId="2" fillId="0" borderId="34" xfId="0" applyFont="1" applyFill="1" applyBorder="1" applyAlignment="1" applyProtection="1">
      <alignment horizontal="left"/>
    </xf>
    <xf numFmtId="0" fontId="2" fillId="0" borderId="59" xfId="0" applyFont="1" applyFill="1" applyBorder="1" applyAlignment="1" applyProtection="1">
      <alignment horizontal="left"/>
    </xf>
    <xf numFmtId="0" fontId="2" fillId="0" borderId="30" xfId="0" applyFont="1" applyFill="1" applyBorder="1" applyAlignment="1" applyProtection="1">
      <alignment horizontal="left"/>
    </xf>
    <xf numFmtId="0" fontId="2" fillId="0" borderId="32" xfId="0" applyFont="1" applyFill="1" applyBorder="1" applyAlignment="1" applyProtection="1">
      <alignment horizontal="left"/>
    </xf>
    <xf numFmtId="0" fontId="41" fillId="0" borderId="0" xfId="66" applyFont="1" applyAlignment="1">
      <alignment horizontal="center" vertical="center"/>
    </xf>
    <xf numFmtId="0" fontId="41" fillId="0" borderId="0" xfId="66" applyFont="1" applyAlignment="1">
      <alignment horizontal="left" vertical="center" wrapText="1"/>
    </xf>
    <xf numFmtId="0" fontId="29" fillId="33" borderId="6" xfId="0" applyFont="1" applyFill="1" applyBorder="1" applyAlignment="1" applyProtection="1">
      <alignment horizontal="left" wrapText="1"/>
      <protection locked="0"/>
    </xf>
    <xf numFmtId="0" fontId="29" fillId="33" borderId="33" xfId="0" applyFont="1" applyFill="1" applyBorder="1" applyAlignment="1" applyProtection="1">
      <alignment horizontal="left" wrapText="1"/>
      <protection locked="0"/>
    </xf>
    <xf numFmtId="0" fontId="29" fillId="33" borderId="33" xfId="0" applyFont="1" applyFill="1" applyBorder="1" applyAlignment="1" applyProtection="1">
      <alignment horizontal="left"/>
      <protection locked="0"/>
    </xf>
    <xf numFmtId="0" fontId="29" fillId="33" borderId="6" xfId="0" applyFont="1" applyFill="1" applyBorder="1" applyAlignment="1" applyProtection="1">
      <alignment horizontal="left"/>
      <protection locked="0"/>
    </xf>
    <xf numFmtId="0" fontId="3" fillId="33" borderId="58" xfId="0" applyFont="1" applyFill="1" applyBorder="1" applyAlignment="1" applyProtection="1">
      <alignment horizontal="left" wrapText="1"/>
    </xf>
    <xf numFmtId="0" fontId="3" fillId="33" borderId="61" xfId="0" applyFont="1" applyFill="1" applyBorder="1" applyAlignment="1" applyProtection="1">
      <alignment horizontal="left" wrapText="1"/>
    </xf>
    <xf numFmtId="0" fontId="29" fillId="33" borderId="16" xfId="0" applyFont="1" applyFill="1" applyBorder="1" applyAlignment="1" applyProtection="1">
      <alignment horizontal="left" wrapText="1"/>
      <protection locked="0"/>
    </xf>
    <xf numFmtId="0" fontId="29" fillId="33" borderId="15" xfId="0" applyFont="1" applyFill="1" applyBorder="1" applyAlignment="1" applyProtection="1">
      <alignment horizontal="left" wrapText="1"/>
      <protection locked="0"/>
    </xf>
    <xf numFmtId="0" fontId="29" fillId="0" borderId="33" xfId="0" applyFont="1" applyBorder="1" applyAlignment="1" applyProtection="1">
      <alignment horizontal="left"/>
      <protection locked="0"/>
    </xf>
    <xf numFmtId="49" fontId="29" fillId="0" borderId="6" xfId="0" applyNumberFormat="1" applyFont="1" applyFill="1" applyBorder="1" applyAlignment="1" applyProtection="1">
      <alignment horizontal="left"/>
      <protection locked="0"/>
    </xf>
    <xf numFmtId="0" fontId="29" fillId="0" borderId="81" xfId="0" applyFont="1" applyBorder="1" applyAlignment="1" applyProtection="1">
      <alignment horizontal="left" wrapText="1"/>
    </xf>
    <xf numFmtId="0" fontId="29" fillId="0" borderId="59" xfId="0" applyFont="1" applyBorder="1" applyAlignment="1" applyProtection="1">
      <alignment horizontal="left" wrapText="1"/>
    </xf>
    <xf numFmtId="0" fontId="34" fillId="42" borderId="19" xfId="0" applyFont="1" applyFill="1" applyBorder="1" applyAlignment="1" applyProtection="1">
      <alignment horizontal="left" wrapText="1"/>
    </xf>
    <xf numFmtId="0" fontId="34" fillId="42" borderId="22" xfId="0" applyFont="1" applyFill="1" applyBorder="1" applyAlignment="1" applyProtection="1">
      <alignment horizontal="left" wrapText="1"/>
    </xf>
    <xf numFmtId="0" fontId="29" fillId="0" borderId="38" xfId="0" applyFont="1" applyFill="1" applyBorder="1" applyAlignment="1" applyProtection="1">
      <alignment horizontal="left"/>
    </xf>
    <xf numFmtId="0" fontId="29" fillId="0" borderId="24" xfId="0" applyFont="1" applyFill="1" applyBorder="1" applyAlignment="1" applyProtection="1">
      <alignment horizontal="left"/>
    </xf>
    <xf numFmtId="0" fontId="34" fillId="42" borderId="30" xfId="0" applyFont="1" applyFill="1" applyBorder="1" applyAlignment="1" applyProtection="1">
      <alignment horizontal="left" wrapText="1"/>
    </xf>
    <xf numFmtId="0" fontId="34" fillId="42" borderId="31" xfId="0" applyFont="1" applyFill="1" applyBorder="1" applyAlignment="1" applyProtection="1">
      <alignment horizontal="left" wrapText="1"/>
    </xf>
    <xf numFmtId="0" fontId="34" fillId="42" borderId="32" xfId="0" applyFont="1" applyFill="1" applyBorder="1" applyAlignment="1" applyProtection="1">
      <alignment horizontal="left" wrapText="1"/>
    </xf>
    <xf numFmtId="0" fontId="2" fillId="42" borderId="5" xfId="0" applyFont="1" applyFill="1" applyBorder="1" applyAlignment="1" applyProtection="1">
      <alignment horizontal="left"/>
    </xf>
    <xf numFmtId="0" fontId="2" fillId="42" borderId="28" xfId="0" applyFont="1" applyFill="1" applyBorder="1" applyAlignment="1" applyProtection="1">
      <alignment horizontal="left"/>
    </xf>
    <xf numFmtId="0" fontId="2" fillId="42" borderId="34" xfId="0" applyFont="1" applyFill="1" applyBorder="1" applyAlignment="1" applyProtection="1">
      <alignment horizontal="left"/>
    </xf>
    <xf numFmtId="0" fontId="2" fillId="42" borderId="59" xfId="0" applyFont="1" applyFill="1" applyBorder="1" applyAlignment="1" applyProtection="1">
      <alignment horizontal="left"/>
    </xf>
    <xf numFmtId="0" fontId="2" fillId="42" borderId="5" xfId="0" applyFont="1" applyFill="1" applyBorder="1" applyAlignment="1" applyProtection="1">
      <alignment horizontal="left" wrapText="1"/>
    </xf>
    <xf numFmtId="0" fontId="2" fillId="42" borderId="15" xfId="0" applyFont="1" applyFill="1" applyBorder="1" applyAlignment="1" applyProtection="1">
      <alignment horizontal="left" wrapText="1"/>
    </xf>
    <xf numFmtId="0" fontId="2" fillId="42" borderId="28" xfId="0" applyFont="1" applyFill="1" applyBorder="1" applyAlignment="1" applyProtection="1">
      <alignment horizontal="left" wrapText="1"/>
    </xf>
    <xf numFmtId="0" fontId="2" fillId="42" borderId="34" xfId="0" applyFont="1" applyFill="1" applyBorder="1" applyAlignment="1" applyProtection="1">
      <alignment horizontal="left" wrapText="1"/>
    </xf>
    <xf numFmtId="0" fontId="2" fillId="42" borderId="60" xfId="0" applyFont="1" applyFill="1" applyBorder="1" applyAlignment="1" applyProtection="1">
      <alignment horizontal="left" wrapText="1"/>
    </xf>
    <xf numFmtId="0" fontId="2" fillId="42" borderId="59" xfId="0" applyFont="1" applyFill="1" applyBorder="1" applyAlignment="1" applyProtection="1">
      <alignment horizontal="left" wrapText="1"/>
    </xf>
    <xf numFmtId="0" fontId="2" fillId="42" borderId="30" xfId="0" applyFont="1" applyFill="1" applyBorder="1" applyAlignment="1" applyProtection="1">
      <alignment horizontal="left"/>
    </xf>
    <xf numFmtId="0" fontId="2" fillId="42" borderId="32" xfId="0" applyFont="1" applyFill="1" applyBorder="1" applyAlignment="1" applyProtection="1">
      <alignment horizontal="left"/>
    </xf>
  </cellXfs>
  <cellStyles count="7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3" xfId="31"/>
    <cellStyle name="Comma 3 2" xfId="32"/>
    <cellStyle name="Comma 3 3" xfId="68"/>
    <cellStyle name="Comma 4" xfId="69"/>
    <cellStyle name="Comma 5" xfId="67"/>
    <cellStyle name="Comma0" xfId="33"/>
    <cellStyle name="Comma1 - Style1" xfId="34"/>
    <cellStyle name="Currency" xfId="35" builtinId="4"/>
    <cellStyle name="Currency 2" xfId="36"/>
    <cellStyle name="Currency 2 2" xfId="70"/>
    <cellStyle name="Currency 3" xfId="37"/>
    <cellStyle name="Currency0" xfId="38"/>
    <cellStyle name="Date" xfId="39"/>
    <cellStyle name="Explanatory Text" xfId="40" builtinId="53" customBuiltin="1"/>
    <cellStyle name="Fixed" xfId="41"/>
    <cellStyle name="Good" xfId="42" builtinId="26" customBuiltin="1"/>
    <cellStyle name="Heading 1" xfId="43" builtinId="16" customBuiltin="1"/>
    <cellStyle name="Heading 2" xfId="44" builtinId="17" customBuiltin="1"/>
    <cellStyle name="Heading 3" xfId="45" builtinId="18" customBuiltin="1"/>
    <cellStyle name="Heading 4" xfId="46" builtinId="19" customBuiltin="1"/>
    <cellStyle name="Input" xfId="47" builtinId="20" customBuiltin="1"/>
    <cellStyle name="Linked Cell" xfId="48" builtinId="24" customBuiltin="1"/>
    <cellStyle name="Neutral" xfId="49" builtinId="28" customBuiltin="1"/>
    <cellStyle name="Normal" xfId="0" builtinId="0"/>
    <cellStyle name="Normal (bold, center, center, A10)" xfId="50"/>
    <cellStyle name="Normal (bold, underlined, center, center, A10)" xfId="51"/>
    <cellStyle name="Normal (borders)" xfId="52"/>
    <cellStyle name="Normal 10" xfId="77"/>
    <cellStyle name="Normal 11" xfId="78"/>
    <cellStyle name="Normal 2" xfId="53"/>
    <cellStyle name="Normal 2 2" xfId="54"/>
    <cellStyle name="Normal 2 3" xfId="55"/>
    <cellStyle name="Normal 3" xfId="56"/>
    <cellStyle name="Normal 3 2" xfId="57"/>
    <cellStyle name="Normal 4" xfId="72"/>
    <cellStyle name="Normal 5" xfId="66"/>
    <cellStyle name="Normal 6" xfId="71"/>
    <cellStyle name="Normal 7" xfId="74"/>
    <cellStyle name="Normal 8" xfId="75"/>
    <cellStyle name="Normal 9" xfId="76"/>
    <cellStyle name="Note" xfId="58" builtinId="10" customBuiltin="1"/>
    <cellStyle name="Output" xfId="59" builtinId="21" customBuiltin="1"/>
    <cellStyle name="Percent" xfId="60" builtinId="5"/>
    <cellStyle name="Percent 2" xfId="73"/>
    <cellStyle name="Reset " xfId="61"/>
    <cellStyle name="Reset  - Style2" xfId="62"/>
    <cellStyle name="Title" xfId="63" builtinId="15" customBuiltin="1"/>
    <cellStyle name="Total" xfId="64" builtinId="25" customBuiltin="1"/>
    <cellStyle name="Warning Text" xfId="6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UNIVERSITY%20WP%20COST%20ALLOC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PS\ACR%2053%20Interim%20Leg%20Comm\Transition%20Plan%20Post-Hay%20%20BCC%2012-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gibbons\Local%20Settings\Temporary%20Internet%20Files\OLK48\Infor%20for%20Leg%204-30-01%20justificationTransition%20Plan%20Post-H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CAP"/>
      <sheetName val="3145"/>
      <sheetName val="DCFS ADMIN"/>
      <sheetName val="TREATMENT"/>
      <sheetName val="FAMILY SUPPORT"/>
      <sheetName val="YOUTH CORR"/>
      <sheetName val="LICENSING"/>
      <sheetName val="SUM"/>
      <sheetName val="DISTRIBUTION"/>
      <sheetName val="UNIV SFY02"/>
      <sheetName val="UNIV SFY0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FY04"/>
      <sheetName val="WC Costs After ACR 53"/>
      <sheetName val="Cost Summary"/>
      <sheetName val="Div-Admin Org Chart Before "/>
      <sheetName val="DCFS Org Chart"/>
      <sheetName val="Div-Admin Org Chart After"/>
      <sheetName val="Org Chart 7-00"/>
      <sheetName val="Org Chart 10-01"/>
      <sheetName val="Org Chart 7-02"/>
      <sheetName val="Org Chart7-03"/>
      <sheetName val="Staff and Transition Times"/>
      <sheetName val="Caseload Staffing Data &amp; $ FY04"/>
      <sheetName val="Costs FY02"/>
      <sheetName val="Costs FY03"/>
      <sheetName val="Hay Sal Sched--FY01"/>
      <sheetName val="$DCFS w WC salaries FY02"/>
      <sheetName val="$DCFS w WC salaries FY03"/>
      <sheetName val="End of Printed Data"/>
      <sheetName val="Caseload Staffing Data &amp; $ FY02"/>
      <sheetName val="Hay Sal Sched--FY02"/>
      <sheetName val="Hay Sal Sched--FY03"/>
      <sheetName val="System Costs FY02"/>
      <sheetName val="System Costs FY04"/>
      <sheetName val="System Costs FY03"/>
      <sheetName val="System Costs FY01"/>
      <sheetName val="System Costs FY00"/>
      <sheetName val="FY00 CPS Costs"/>
      <sheetName val="Hay Sal Sched--FY04"/>
      <sheetName val="$DCFS w WC salaries 00"/>
      <sheetName val="Growth Info"/>
      <sheetName val="Petitions and Children"/>
      <sheetName val="Dept Org Chart 01"/>
      <sheetName val="Table of Contents"/>
      <sheetName val="Names In Workbook"/>
      <sheetName val="Eligibility Worker Costs"/>
      <sheetName val="Caseload Staffing Data &amp; $ FY0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sheetData sheetId="11"/>
      <sheetData sheetId="12" refreshError="1"/>
      <sheetData sheetId="13"/>
      <sheetData sheetId="14" refreshError="1"/>
      <sheetData sheetId="15" refreshError="1"/>
      <sheetData sheetId="16"/>
      <sheetData sheetId="17" refreshError="1"/>
      <sheetData sheetId="18" refreshError="1"/>
      <sheetData sheetId="19" refreshError="1"/>
      <sheetData sheetId="20" refreshError="1"/>
      <sheetData sheetId="21">
        <row r="11">
          <cell r="B11">
            <v>1</v>
          </cell>
        </row>
      </sheetData>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v-Admin Org Chart Before "/>
      <sheetName val="DCFS Org Chart"/>
      <sheetName val="Div-Admin Org Chart After"/>
      <sheetName val="Org Chart 7-00"/>
      <sheetName val="Org Chart 10-01"/>
      <sheetName val="Org Chart 7-02"/>
      <sheetName val="Org Chart7-03"/>
      <sheetName val="Staff and Transition Times"/>
      <sheetName val="Caseload Staffing Data &amp; $ FY04"/>
      <sheetName val="Calculations"/>
      <sheetName val="Cost Summary"/>
      <sheetName val="Costs FY02"/>
      <sheetName val="Costs FY03"/>
      <sheetName val="Costs FY04"/>
      <sheetName val="Hay Sal Sched--FY01"/>
      <sheetName val="Hay Sal Sched--FY02"/>
      <sheetName val="Hay Sal Sched--FY03"/>
      <sheetName val="$DCFS w WC salaries FY02"/>
      <sheetName val="$DCFS w WC salaries FY03"/>
      <sheetName val="End of Printed Data"/>
      <sheetName val="Caseload Staffing Data &amp; $ FY02"/>
      <sheetName val="System Costs FY02"/>
      <sheetName val="System Costs FY04"/>
      <sheetName val="System Costs FY03"/>
      <sheetName val="System Costs FY01"/>
      <sheetName val="System Costs FY00"/>
      <sheetName val="FY00 CPS Costs"/>
      <sheetName val="Hay Sal Sched--FY04"/>
      <sheetName val="$DCFS w WC salaries 00"/>
      <sheetName val="Growth Info"/>
      <sheetName val="Petitions and Children"/>
      <sheetName val="Dept Org Chart 01"/>
      <sheetName val="Table of Contents"/>
      <sheetName val="Names In Workbook"/>
      <sheetName val="Eligibility Worker Costs"/>
      <sheetName val="Caseload Staffing Data &amp; $ FY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12">
          <cell r="B12">
            <v>1</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52"/>
  <sheetViews>
    <sheetView workbookViewId="0"/>
  </sheetViews>
  <sheetFormatPr defaultColWidth="9.109375" defaultRowHeight="13.2" x14ac:dyDescent="0.25"/>
  <cols>
    <col min="1" max="1" width="62.44140625" style="406" customWidth="1"/>
    <col min="2" max="2" width="2.6640625" style="406" customWidth="1"/>
    <col min="3" max="3" width="6.88671875" style="406" customWidth="1"/>
    <col min="4" max="4" width="2.6640625" style="406" customWidth="1"/>
    <col min="5" max="5" width="6.6640625" style="406" customWidth="1"/>
    <col min="6" max="6" width="6.88671875" style="406" customWidth="1"/>
    <col min="7" max="16384" width="9.109375" style="406"/>
  </cols>
  <sheetData>
    <row r="1" spans="1:7" ht="13.65" customHeight="1" x14ac:dyDescent="0.25">
      <c r="A1" s="430" t="s">
        <v>383</v>
      </c>
      <c r="B1" s="431"/>
      <c r="C1" s="416"/>
      <c r="D1" s="416"/>
      <c r="E1" s="416"/>
      <c r="F1" s="416"/>
    </row>
    <row r="2" spans="1:7" s="407" customFormat="1" ht="13.65" customHeight="1" x14ac:dyDescent="0.25">
      <c r="A2" s="432" t="s">
        <v>384</v>
      </c>
      <c r="B2" s="432"/>
      <c r="C2" s="433"/>
      <c r="D2" s="433"/>
      <c r="E2" s="433"/>
      <c r="F2" s="434"/>
    </row>
    <row r="3" spans="1:7" s="407" customFormat="1" ht="13.65" customHeight="1" x14ac:dyDescent="0.25">
      <c r="A3" s="432" t="s">
        <v>385</v>
      </c>
      <c r="B3" s="435"/>
      <c r="C3" s="433"/>
      <c r="D3" s="433"/>
      <c r="E3" s="433"/>
      <c r="F3" s="434"/>
    </row>
    <row r="4" spans="1:7" s="407" customFormat="1" ht="15" customHeight="1" x14ac:dyDescent="0.25">
      <c r="A4" s="432" t="s">
        <v>386</v>
      </c>
      <c r="B4" s="435"/>
      <c r="C4" s="433"/>
      <c r="D4" s="433"/>
      <c r="E4" s="433"/>
      <c r="F4" s="434"/>
    </row>
    <row r="5" spans="1:7" s="409" customFormat="1" ht="15.75" customHeight="1" x14ac:dyDescent="0.25">
      <c r="A5" s="437" t="s">
        <v>387</v>
      </c>
      <c r="B5" s="438"/>
      <c r="C5" s="438"/>
      <c r="D5" s="438"/>
      <c r="E5" s="438"/>
      <c r="F5" s="439"/>
      <c r="G5" s="436"/>
    </row>
    <row r="6" spans="1:7" s="409" customFormat="1" ht="15.75" customHeight="1" x14ac:dyDescent="0.25">
      <c r="A6" s="447"/>
      <c r="B6" s="448"/>
      <c r="C6" s="448"/>
      <c r="D6" s="448"/>
      <c r="E6" s="448"/>
      <c r="F6" s="436"/>
      <c r="G6" s="436"/>
    </row>
    <row r="7" spans="1:7" s="409" customFormat="1" ht="15.75" customHeight="1" x14ac:dyDescent="0.25">
      <c r="A7" s="449" t="s">
        <v>424</v>
      </c>
      <c r="B7" s="448"/>
      <c r="C7" s="448"/>
      <c r="D7" s="448"/>
      <c r="E7" s="448"/>
      <c r="F7" s="436"/>
      <c r="G7" s="436"/>
    </row>
    <row r="8" spans="1:7" s="409" customFormat="1" ht="15.75" customHeight="1" x14ac:dyDescent="0.25">
      <c r="A8" s="449"/>
      <c r="B8" s="448"/>
      <c r="C8" s="448"/>
      <c r="D8" s="448"/>
      <c r="E8" s="448"/>
      <c r="F8" s="436"/>
      <c r="G8" s="436"/>
    </row>
    <row r="9" spans="1:7" s="409" customFormat="1" ht="15.75" customHeight="1" x14ac:dyDescent="0.25">
      <c r="A9" s="486" t="s">
        <v>420</v>
      </c>
      <c r="B9" s="486"/>
      <c r="C9" s="486"/>
      <c r="D9" s="486"/>
      <c r="E9" s="486"/>
      <c r="F9" s="486"/>
      <c r="G9" s="436"/>
    </row>
    <row r="10" spans="1:7" ht="15.75" customHeight="1" x14ac:dyDescent="0.2">
      <c r="A10" s="410" t="s">
        <v>388</v>
      </c>
      <c r="B10" s="485" t="s">
        <v>25</v>
      </c>
      <c r="C10" s="485"/>
      <c r="D10" s="485"/>
      <c r="E10" s="419" t="s">
        <v>26</v>
      </c>
      <c r="F10" s="423"/>
    </row>
    <row r="11" spans="1:7" ht="12.75" x14ac:dyDescent="0.2">
      <c r="A11" s="422" t="s">
        <v>389</v>
      </c>
      <c r="B11" s="426"/>
      <c r="C11" s="420"/>
      <c r="D11" s="420"/>
      <c r="E11" s="420"/>
      <c r="F11" s="428"/>
    </row>
    <row r="12" spans="1:7" ht="8.1" customHeight="1" x14ac:dyDescent="0.2">
      <c r="A12" s="411"/>
      <c r="B12" s="424"/>
      <c r="C12" s="412"/>
      <c r="D12" s="412"/>
      <c r="E12" s="412"/>
      <c r="F12" s="413"/>
    </row>
    <row r="13" spans="1:7" ht="12.75" customHeight="1" x14ac:dyDescent="0.2">
      <c r="A13" s="418" t="s">
        <v>390</v>
      </c>
      <c r="B13" s="427"/>
      <c r="C13" s="429"/>
      <c r="D13" s="408"/>
      <c r="E13" s="429"/>
      <c r="F13" s="414"/>
    </row>
    <row r="14" spans="1:7" ht="12.75" customHeight="1" x14ac:dyDescent="0.2">
      <c r="A14" s="418" t="s">
        <v>423</v>
      </c>
      <c r="B14" s="427"/>
      <c r="C14" s="429"/>
      <c r="D14" s="408"/>
      <c r="E14" s="429"/>
      <c r="F14" s="414"/>
    </row>
    <row r="15" spans="1:7" ht="12.75" customHeight="1" x14ac:dyDescent="0.2">
      <c r="A15" s="418" t="s">
        <v>422</v>
      </c>
      <c r="B15" s="427"/>
      <c r="C15" s="429"/>
      <c r="D15" s="408"/>
      <c r="E15" s="429"/>
      <c r="F15" s="414"/>
    </row>
    <row r="16" spans="1:7" ht="12.75" x14ac:dyDescent="0.2">
      <c r="A16" s="422" t="s">
        <v>391</v>
      </c>
      <c r="B16" s="426"/>
      <c r="C16" s="420"/>
      <c r="D16" s="420"/>
      <c r="E16" s="420"/>
      <c r="F16" s="421"/>
    </row>
    <row r="17" spans="1:6" ht="8.1" customHeight="1" x14ac:dyDescent="0.2">
      <c r="A17" s="411"/>
      <c r="B17" s="424"/>
      <c r="C17" s="412"/>
      <c r="D17" s="412"/>
      <c r="E17" s="412"/>
      <c r="F17" s="413"/>
    </row>
    <row r="18" spans="1:6" ht="12.75" customHeight="1" x14ac:dyDescent="0.2">
      <c r="A18" s="418" t="s">
        <v>392</v>
      </c>
      <c r="B18" s="427"/>
      <c r="C18" s="429" t="s">
        <v>393</v>
      </c>
      <c r="D18" s="408"/>
      <c r="E18" s="429" t="s">
        <v>393</v>
      </c>
      <c r="F18" s="414"/>
    </row>
    <row r="19" spans="1:6" ht="12.75" customHeight="1" x14ac:dyDescent="0.2">
      <c r="A19" s="418" t="s">
        <v>394</v>
      </c>
      <c r="B19" s="427"/>
      <c r="C19" s="429" t="s">
        <v>393</v>
      </c>
      <c r="D19" s="408"/>
      <c r="E19" s="429" t="s">
        <v>393</v>
      </c>
      <c r="F19" s="414"/>
    </row>
    <row r="20" spans="1:6" ht="12.75" customHeight="1" x14ac:dyDescent="0.2">
      <c r="A20" s="418" t="s">
        <v>395</v>
      </c>
      <c r="B20" s="427"/>
      <c r="C20" s="429"/>
      <c r="D20" s="408"/>
      <c r="E20" s="429"/>
      <c r="F20" s="414"/>
    </row>
    <row r="21" spans="1:6" ht="12.75" x14ac:dyDescent="0.2">
      <c r="A21" s="422" t="s">
        <v>396</v>
      </c>
      <c r="B21" s="426"/>
      <c r="C21" s="420"/>
      <c r="D21" s="420"/>
      <c r="E21" s="420"/>
      <c r="F21" s="421"/>
    </row>
    <row r="22" spans="1:6" ht="8.1" customHeight="1" x14ac:dyDescent="0.2">
      <c r="A22" s="411"/>
      <c r="B22" s="424"/>
      <c r="C22" s="412"/>
      <c r="D22" s="412"/>
      <c r="E22" s="412"/>
      <c r="F22" s="413"/>
    </row>
    <row r="23" spans="1:6" ht="12.75" customHeight="1" x14ac:dyDescent="0.2">
      <c r="A23" s="440" t="s">
        <v>397</v>
      </c>
      <c r="B23" s="427"/>
      <c r="C23" s="441" t="s">
        <v>393</v>
      </c>
      <c r="D23" s="408"/>
      <c r="E23" s="429" t="s">
        <v>393</v>
      </c>
      <c r="F23" s="414"/>
    </row>
    <row r="24" spans="1:6" ht="12.75" customHeight="1" x14ac:dyDescent="0.2">
      <c r="A24" s="418" t="s">
        <v>398</v>
      </c>
      <c r="B24" s="427"/>
      <c r="C24" s="429"/>
      <c r="D24" s="408"/>
      <c r="E24" s="429"/>
      <c r="F24" s="414"/>
    </row>
    <row r="25" spans="1:6" ht="12.75" customHeight="1" x14ac:dyDescent="0.2">
      <c r="A25" s="442" t="s">
        <v>399</v>
      </c>
      <c r="B25" s="427"/>
      <c r="C25" s="408"/>
      <c r="D25" s="408"/>
      <c r="E25" s="408"/>
      <c r="F25" s="414"/>
    </row>
    <row r="26" spans="1:6" ht="12.75" customHeight="1" x14ac:dyDescent="0.2">
      <c r="A26" s="418" t="s">
        <v>400</v>
      </c>
      <c r="B26" s="427"/>
      <c r="C26" s="429"/>
      <c r="D26" s="408"/>
      <c r="E26" s="429"/>
      <c r="F26" s="414"/>
    </row>
    <row r="27" spans="1:6" ht="12.75" customHeight="1" x14ac:dyDescent="0.2">
      <c r="A27" s="418" t="s">
        <v>401</v>
      </c>
      <c r="B27" s="427"/>
      <c r="C27" s="429"/>
      <c r="D27" s="408"/>
      <c r="E27" s="429"/>
      <c r="F27" s="414"/>
    </row>
    <row r="28" spans="1:6" ht="12.75" customHeight="1" x14ac:dyDescent="0.2">
      <c r="A28" s="418" t="s">
        <v>402</v>
      </c>
      <c r="B28" s="427"/>
      <c r="C28" s="429"/>
      <c r="D28" s="408"/>
      <c r="E28" s="429"/>
      <c r="F28" s="414"/>
    </row>
    <row r="29" spans="1:6" ht="12.75" customHeight="1" x14ac:dyDescent="0.2">
      <c r="A29" s="418" t="s">
        <v>403</v>
      </c>
      <c r="B29" s="427"/>
      <c r="C29" s="429"/>
      <c r="D29" s="408"/>
      <c r="E29" s="429"/>
      <c r="F29" s="414"/>
    </row>
    <row r="30" spans="1:6" ht="12.75" customHeight="1" x14ac:dyDescent="0.2">
      <c r="A30" s="418" t="s">
        <v>404</v>
      </c>
      <c r="B30" s="427"/>
      <c r="C30" s="429"/>
      <c r="D30" s="408"/>
      <c r="E30" s="429"/>
      <c r="F30" s="414"/>
    </row>
    <row r="31" spans="1:6" ht="12.75" customHeight="1" x14ac:dyDescent="0.2">
      <c r="A31" s="418" t="s">
        <v>405</v>
      </c>
      <c r="B31" s="427"/>
      <c r="C31" s="429"/>
      <c r="D31" s="408"/>
      <c r="E31" s="429"/>
      <c r="F31" s="414"/>
    </row>
    <row r="32" spans="1:6" ht="12.75" customHeight="1" x14ac:dyDescent="0.2">
      <c r="A32" s="418" t="s">
        <v>416</v>
      </c>
      <c r="B32" s="427"/>
      <c r="C32" s="429"/>
      <c r="D32" s="408"/>
      <c r="E32" s="429"/>
      <c r="F32" s="414"/>
    </row>
    <row r="33" spans="1:6" ht="12.75" customHeight="1" x14ac:dyDescent="0.2">
      <c r="A33" s="418" t="s">
        <v>417</v>
      </c>
      <c r="B33" s="427"/>
      <c r="C33" s="429"/>
      <c r="D33" s="408"/>
      <c r="E33" s="429"/>
      <c r="F33" s="414"/>
    </row>
    <row r="34" spans="1:6" ht="12.75" customHeight="1" x14ac:dyDescent="0.2">
      <c r="A34" s="418" t="s">
        <v>439</v>
      </c>
      <c r="B34" s="427"/>
      <c r="C34" s="429"/>
      <c r="D34" s="408"/>
      <c r="E34" s="429"/>
      <c r="F34" s="414"/>
    </row>
    <row r="35" spans="1:6" ht="12.75" customHeight="1" x14ac:dyDescent="0.2">
      <c r="A35" s="443" t="s">
        <v>415</v>
      </c>
      <c r="B35" s="427"/>
      <c r="C35" s="429"/>
      <c r="D35" s="408"/>
      <c r="E35" s="429"/>
      <c r="F35" s="414"/>
    </row>
    <row r="36" spans="1:6" ht="12.75" customHeight="1" x14ac:dyDescent="0.2">
      <c r="A36" s="415"/>
      <c r="B36" s="425"/>
      <c r="C36" s="416"/>
      <c r="D36" s="416"/>
      <c r="E36" s="416"/>
      <c r="F36" s="417"/>
    </row>
    <row r="37" spans="1:6" ht="12.75" x14ac:dyDescent="0.2">
      <c r="A37" s="422" t="s">
        <v>418</v>
      </c>
      <c r="B37" s="426"/>
      <c r="C37" s="420"/>
      <c r="D37" s="420"/>
      <c r="E37" s="420"/>
      <c r="F37" s="421"/>
    </row>
    <row r="38" spans="1:6" ht="12.75" x14ac:dyDescent="0.2">
      <c r="A38" s="411"/>
      <c r="B38" s="424"/>
      <c r="C38" s="412"/>
      <c r="D38" s="412"/>
      <c r="E38" s="412"/>
      <c r="F38" s="413"/>
    </row>
    <row r="39" spans="1:6" ht="12.75" x14ac:dyDescent="0.2">
      <c r="A39" s="418" t="s">
        <v>406</v>
      </c>
      <c r="B39" s="427"/>
      <c r="C39" s="429" t="s">
        <v>393</v>
      </c>
      <c r="D39" s="408"/>
      <c r="E39" s="429" t="s">
        <v>393</v>
      </c>
      <c r="F39" s="414"/>
    </row>
    <row r="40" spans="1:6" ht="12.75" x14ac:dyDescent="0.2">
      <c r="A40" s="418" t="s">
        <v>407</v>
      </c>
      <c r="B40" s="427"/>
      <c r="C40" s="429"/>
      <c r="D40" s="408"/>
      <c r="E40" s="429"/>
      <c r="F40" s="414"/>
    </row>
    <row r="41" spans="1:6" ht="12.75" x14ac:dyDescent="0.2">
      <c r="A41" s="415"/>
      <c r="B41" s="425"/>
      <c r="C41" s="416"/>
      <c r="D41" s="416"/>
      <c r="E41" s="416"/>
      <c r="F41" s="417"/>
    </row>
    <row r="42" spans="1:6" x14ac:dyDescent="0.25">
      <c r="A42" s="422" t="s">
        <v>408</v>
      </c>
      <c r="B42" s="426"/>
      <c r="C42" s="420"/>
      <c r="D42" s="420"/>
      <c r="E42" s="420"/>
      <c r="F42" s="421"/>
    </row>
    <row r="43" spans="1:6" x14ac:dyDescent="0.25">
      <c r="A43" s="411"/>
      <c r="B43" s="424"/>
      <c r="C43" s="412"/>
      <c r="D43" s="412"/>
      <c r="E43" s="412"/>
      <c r="F43" s="413"/>
    </row>
    <row r="44" spans="1:6" ht="23.4" x14ac:dyDescent="0.25">
      <c r="A44" s="445" t="s">
        <v>487</v>
      </c>
      <c r="B44" s="427"/>
      <c r="C44" s="408" t="s">
        <v>393</v>
      </c>
      <c r="D44" s="408"/>
      <c r="E44" s="408" t="s">
        <v>393</v>
      </c>
      <c r="F44" s="414"/>
    </row>
    <row r="45" spans="1:6" x14ac:dyDescent="0.25">
      <c r="A45" s="418" t="s">
        <v>409</v>
      </c>
      <c r="B45" s="427"/>
      <c r="C45" s="429"/>
      <c r="D45" s="408"/>
      <c r="E45" s="429"/>
      <c r="F45" s="414"/>
    </row>
    <row r="46" spans="1:6" x14ac:dyDescent="0.25">
      <c r="A46" s="418" t="s">
        <v>410</v>
      </c>
      <c r="B46" s="427"/>
      <c r="C46" s="429"/>
      <c r="D46" s="408"/>
      <c r="E46" s="429"/>
      <c r="F46" s="414"/>
    </row>
    <row r="47" spans="1:6" x14ac:dyDescent="0.25">
      <c r="A47" s="418" t="s">
        <v>411</v>
      </c>
      <c r="B47" s="427"/>
      <c r="C47" s="429"/>
      <c r="D47" s="408"/>
      <c r="E47" s="429"/>
      <c r="F47" s="414"/>
    </row>
    <row r="48" spans="1:6" x14ac:dyDescent="0.25">
      <c r="A48" s="418" t="s">
        <v>412</v>
      </c>
      <c r="B48" s="427"/>
      <c r="C48" s="429"/>
      <c r="D48" s="408"/>
      <c r="E48" s="429"/>
      <c r="F48" s="414"/>
    </row>
    <row r="49" spans="1:6" x14ac:dyDescent="0.25">
      <c r="A49" s="418" t="s">
        <v>413</v>
      </c>
      <c r="B49" s="427"/>
      <c r="C49" s="429"/>
      <c r="D49" s="408"/>
      <c r="E49" s="429"/>
      <c r="F49" s="414"/>
    </row>
    <row r="50" spans="1:6" x14ac:dyDescent="0.25">
      <c r="A50" s="444" t="s">
        <v>419</v>
      </c>
      <c r="B50" s="427"/>
      <c r="C50" s="446"/>
      <c r="D50" s="408"/>
      <c r="E50" s="408"/>
      <c r="F50" s="414"/>
    </row>
    <row r="51" spans="1:6" x14ac:dyDescent="0.25">
      <c r="A51" s="418" t="s">
        <v>414</v>
      </c>
      <c r="B51" s="427"/>
      <c r="C51" s="429"/>
      <c r="D51" s="408"/>
      <c r="E51" s="429"/>
      <c r="F51" s="414"/>
    </row>
    <row r="52" spans="1:6" x14ac:dyDescent="0.25">
      <c r="A52" s="415"/>
      <c r="B52" s="425"/>
      <c r="C52" s="416"/>
      <c r="D52" s="416"/>
      <c r="E52" s="416"/>
      <c r="F52" s="417"/>
    </row>
  </sheetData>
  <mergeCells count="2">
    <mergeCell ref="B10:D10"/>
    <mergeCell ref="A9:F9"/>
  </mergeCells>
  <pageMargins left="0.75" right="0.75" top="1" bottom="1" header="0.5" footer="0.5"/>
  <pageSetup scale="91" orientation="portrait" r:id="rId1"/>
  <headerFooter alignWithMargins="0">
    <oddFooter>&amp;L&amp;9&amp;P of &amp;N&amp;C&amp;9&amp;D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4"/>
  <sheetViews>
    <sheetView workbookViewId="0">
      <selection activeCell="B1" sqref="B1:C1"/>
    </sheetView>
  </sheetViews>
  <sheetFormatPr defaultColWidth="9.109375" defaultRowHeight="14.4" x14ac:dyDescent="0.3"/>
  <cols>
    <col min="1" max="1" width="30.5546875" style="15" customWidth="1"/>
    <col min="2" max="2" width="19.5546875" style="15" customWidth="1"/>
    <col min="3" max="3" width="49.6640625" style="15" customWidth="1"/>
    <col min="4" max="4" width="6" style="15" customWidth="1"/>
    <col min="5" max="5" width="12.33203125" style="15" customWidth="1"/>
    <col min="6" max="6" width="11.88671875" style="15" customWidth="1"/>
    <col min="7" max="7" width="9.109375" style="15"/>
    <col min="8" max="8" width="21.5546875" style="15" customWidth="1"/>
    <col min="9" max="16384" width="9.109375" style="15"/>
  </cols>
  <sheetData>
    <row r="1" spans="1:10" ht="15" x14ac:dyDescent="0.25">
      <c r="A1" s="25" t="s">
        <v>250</v>
      </c>
      <c r="B1" s="550"/>
      <c r="C1" s="550"/>
      <c r="D1" s="70"/>
      <c r="E1" s="70"/>
      <c r="G1" s="70"/>
      <c r="H1" s="202" t="s">
        <v>310</v>
      </c>
    </row>
    <row r="2" spans="1:10" ht="15" x14ac:dyDescent="0.25">
      <c r="A2" s="25" t="s">
        <v>251</v>
      </c>
      <c r="B2" s="551"/>
      <c r="C2" s="551"/>
      <c r="E2" s="71"/>
      <c r="G2" s="72"/>
      <c r="H2" s="137" t="s">
        <v>279</v>
      </c>
    </row>
    <row r="3" spans="1:10" s="75" customFormat="1" ht="15" customHeight="1" x14ac:dyDescent="0.2">
      <c r="A3" s="2" t="s">
        <v>254</v>
      </c>
      <c r="B3" s="548"/>
      <c r="C3" s="548"/>
      <c r="D3" s="73"/>
      <c r="E3" s="74"/>
      <c r="H3" s="389" t="s">
        <v>280</v>
      </c>
      <c r="J3" s="76"/>
    </row>
    <row r="4" spans="1:10" ht="15" x14ac:dyDescent="0.25">
      <c r="A4" s="25" t="s">
        <v>255</v>
      </c>
      <c r="B4" s="549"/>
      <c r="C4" s="549"/>
      <c r="E4" s="71"/>
      <c r="F4" s="71"/>
      <c r="G4" s="72"/>
    </row>
    <row r="5" spans="1:10" ht="15" x14ac:dyDescent="0.25">
      <c r="A5" s="77"/>
      <c r="B5" s="73"/>
      <c r="E5" s="71"/>
      <c r="F5" s="71"/>
      <c r="G5" s="72"/>
    </row>
    <row r="6" spans="1:10" ht="15.75" thickBot="1" x14ac:dyDescent="0.3">
      <c r="E6" s="71"/>
      <c r="F6" s="71"/>
      <c r="G6" s="72"/>
    </row>
    <row r="7" spans="1:10" ht="28.5" customHeight="1" thickBot="1" x14ac:dyDescent="0.3">
      <c r="A7" s="387" t="s">
        <v>276</v>
      </c>
      <c r="B7" s="388">
        <f>'Decision Unit Template'!B8</f>
        <v>0</v>
      </c>
      <c r="C7" s="504" t="s">
        <v>352</v>
      </c>
      <c r="D7" s="505"/>
      <c r="E7" s="111" t="str">
        <f>"SFY "&amp;'Dates-Rates'!$B$11</f>
        <v>SFY 2020</v>
      </c>
      <c r="F7" s="112" t="str">
        <f>"SFY "&amp;'Dates-Rates'!$B$12</f>
        <v>SFY 2021</v>
      </c>
      <c r="G7" s="75"/>
    </row>
    <row r="8" spans="1:10" ht="15" x14ac:dyDescent="0.25">
      <c r="A8" s="137" t="s">
        <v>277</v>
      </c>
      <c r="B8" s="78"/>
      <c r="C8" s="512" t="s">
        <v>290</v>
      </c>
      <c r="D8" s="513"/>
      <c r="E8" s="30">
        <f>'Decision Unit Template'!E9</f>
        <v>0</v>
      </c>
      <c r="F8" s="31">
        <f>'Decision Unit Template'!F9</f>
        <v>0</v>
      </c>
      <c r="G8" s="75"/>
    </row>
    <row r="9" spans="1:10" ht="15" x14ac:dyDescent="0.25">
      <c r="A9" s="137" t="s">
        <v>278</v>
      </c>
      <c r="B9" s="78"/>
      <c r="C9" s="506" t="s">
        <v>378</v>
      </c>
      <c r="D9" s="507"/>
      <c r="E9" s="32">
        <f>'Decision Unit Template'!E10</f>
        <v>0</v>
      </c>
      <c r="F9" s="33">
        <f>'Decision Unit Template'!F10</f>
        <v>0</v>
      </c>
      <c r="G9" s="75"/>
    </row>
    <row r="10" spans="1:10" ht="15" x14ac:dyDescent="0.25">
      <c r="B10" s="73"/>
      <c r="C10" s="506" t="s">
        <v>291</v>
      </c>
      <c r="D10" s="507"/>
      <c r="E10" s="32">
        <f>'Decision Unit Template'!E11</f>
        <v>0</v>
      </c>
      <c r="F10" s="33">
        <f>'Decision Unit Template'!F11</f>
        <v>0</v>
      </c>
      <c r="G10" s="75"/>
    </row>
    <row r="11" spans="1:10" ht="15" x14ac:dyDescent="0.25">
      <c r="A11" s="73"/>
      <c r="B11" s="73"/>
      <c r="C11" s="506" t="s">
        <v>295</v>
      </c>
      <c r="D11" s="507"/>
      <c r="E11" s="32">
        <f>'Decision Unit Template'!E12</f>
        <v>0</v>
      </c>
      <c r="F11" s="33">
        <f>'Decision Unit Template'!F12</f>
        <v>0</v>
      </c>
      <c r="G11" s="75"/>
    </row>
    <row r="12" spans="1:10" x14ac:dyDescent="0.3">
      <c r="A12" s="552" t="s">
        <v>341</v>
      </c>
      <c r="B12" s="553"/>
      <c r="C12" s="506" t="s">
        <v>293</v>
      </c>
      <c r="D12" s="507"/>
      <c r="E12" s="32">
        <f>'Decision Unit Template'!E13</f>
        <v>0</v>
      </c>
      <c r="F12" s="33">
        <f>'Decision Unit Template'!F13</f>
        <v>0</v>
      </c>
      <c r="G12" s="75"/>
    </row>
    <row r="13" spans="1:10" x14ac:dyDescent="0.3">
      <c r="A13" s="510"/>
      <c r="B13" s="511"/>
      <c r="C13" s="506" t="s">
        <v>318</v>
      </c>
      <c r="D13" s="507"/>
      <c r="E13" s="32">
        <f>'Decision Unit Template'!E14</f>
        <v>0</v>
      </c>
      <c r="F13" s="33">
        <f>'Decision Unit Template'!F14</f>
        <v>0</v>
      </c>
      <c r="G13" s="75"/>
    </row>
    <row r="14" spans="1:10" ht="15" x14ac:dyDescent="0.25">
      <c r="A14" s="79"/>
      <c r="B14" s="80"/>
      <c r="C14" s="554" t="s">
        <v>37</v>
      </c>
      <c r="D14" s="555"/>
      <c r="E14" s="34">
        <v>0</v>
      </c>
      <c r="F14" s="35">
        <v>0</v>
      </c>
      <c r="G14" s="75"/>
    </row>
    <row r="15" spans="1:10" ht="15" x14ac:dyDescent="0.25">
      <c r="A15" s="80"/>
      <c r="B15" s="80"/>
      <c r="C15" s="81" t="s">
        <v>38</v>
      </c>
      <c r="D15" s="82"/>
      <c r="E15" s="83">
        <v>0</v>
      </c>
      <c r="F15" s="84">
        <v>0</v>
      </c>
      <c r="G15" s="75"/>
    </row>
    <row r="16" spans="1:10" ht="15" x14ac:dyDescent="0.25">
      <c r="A16" s="80"/>
      <c r="B16" s="80"/>
      <c r="C16" s="14" t="s">
        <v>307</v>
      </c>
      <c r="D16" s="85"/>
      <c r="E16" s="38">
        <v>0</v>
      </c>
      <c r="F16" s="39">
        <v>0</v>
      </c>
      <c r="G16" s="75"/>
    </row>
    <row r="17" spans="1:7" ht="15" x14ac:dyDescent="0.25">
      <c r="A17" s="80"/>
      <c r="B17" s="80"/>
      <c r="C17" s="14" t="s">
        <v>307</v>
      </c>
      <c r="D17" s="85"/>
      <c r="E17" s="38">
        <v>0</v>
      </c>
      <c r="F17" s="39">
        <v>0</v>
      </c>
      <c r="G17" s="75"/>
    </row>
    <row r="18" spans="1:7" ht="15" x14ac:dyDescent="0.25">
      <c r="A18" s="80"/>
      <c r="B18" s="80"/>
      <c r="C18" s="14" t="s">
        <v>307</v>
      </c>
      <c r="D18" s="85"/>
      <c r="E18" s="38">
        <v>0</v>
      </c>
      <c r="F18" s="39">
        <v>0</v>
      </c>
      <c r="G18" s="75"/>
    </row>
    <row r="19" spans="1:7" ht="15" x14ac:dyDescent="0.25">
      <c r="A19" s="80"/>
      <c r="B19" s="80"/>
      <c r="C19" s="14" t="s">
        <v>307</v>
      </c>
      <c r="D19" s="85"/>
      <c r="E19" s="38">
        <v>0</v>
      </c>
      <c r="F19" s="39">
        <v>0</v>
      </c>
      <c r="G19" s="75"/>
    </row>
    <row r="20" spans="1:7" ht="15" x14ac:dyDescent="0.25">
      <c r="A20" s="137" t="s">
        <v>41</v>
      </c>
      <c r="B20" s="56"/>
      <c r="C20" s="497" t="s">
        <v>39</v>
      </c>
      <c r="D20" s="498"/>
      <c r="E20" s="57">
        <v>0</v>
      </c>
      <c r="F20" s="58">
        <v>0</v>
      </c>
      <c r="G20" s="75"/>
    </row>
    <row r="21" spans="1:7" ht="15" x14ac:dyDescent="0.25">
      <c r="A21" s="137" t="s">
        <v>41</v>
      </c>
      <c r="B21" s="56"/>
      <c r="C21" s="59" t="s">
        <v>40</v>
      </c>
      <c r="D21" s="60"/>
      <c r="E21" s="61">
        <v>0</v>
      </c>
      <c r="F21" s="62">
        <v>0</v>
      </c>
      <c r="G21" s="75"/>
    </row>
    <row r="22" spans="1:7" ht="15.75" thickBot="1" x14ac:dyDescent="0.3">
      <c r="A22" s="86"/>
      <c r="B22" s="86"/>
      <c r="C22" s="493" t="s">
        <v>351</v>
      </c>
      <c r="D22" s="494"/>
      <c r="E22" s="114">
        <f>SUM(E8:E21)</f>
        <v>0</v>
      </c>
      <c r="F22" s="115">
        <f>SUM(F8:F21)</f>
        <v>0</v>
      </c>
      <c r="G22" s="75"/>
    </row>
    <row r="23" spans="1:7" ht="15.75" thickTop="1" x14ac:dyDescent="0.25"/>
    <row r="24" spans="1:7" ht="15" x14ac:dyDescent="0.25">
      <c r="A24" s="15" t="s">
        <v>42</v>
      </c>
    </row>
  </sheetData>
  <mergeCells count="15">
    <mergeCell ref="C20:D20"/>
    <mergeCell ref="C22:D22"/>
    <mergeCell ref="C10:D10"/>
    <mergeCell ref="C11:D11"/>
    <mergeCell ref="A12:B13"/>
    <mergeCell ref="C12:D12"/>
    <mergeCell ref="C13:D13"/>
    <mergeCell ref="C14:D14"/>
    <mergeCell ref="C9:D9"/>
    <mergeCell ref="B3:C3"/>
    <mergeCell ref="B4:C4"/>
    <mergeCell ref="B1:C1"/>
    <mergeCell ref="B2:C2"/>
    <mergeCell ref="C7:D7"/>
    <mergeCell ref="C8:D8"/>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27"/>
  <sheetViews>
    <sheetView tabSelected="1" topLeftCell="B1" workbookViewId="0">
      <selection activeCell="F11" sqref="F11"/>
    </sheetView>
  </sheetViews>
  <sheetFormatPr defaultColWidth="9.109375" defaultRowHeight="13.2" x14ac:dyDescent="0.25"/>
  <cols>
    <col min="1" max="1" width="28.6640625" style="145" customWidth="1"/>
    <col min="2" max="2" width="26.44140625" style="145" customWidth="1"/>
    <col min="3" max="3" width="31" style="145" customWidth="1"/>
    <col min="4" max="4" width="13.88671875" style="145" customWidth="1"/>
    <col min="5" max="5" width="14.33203125" style="145" customWidth="1"/>
    <col min="6" max="6" width="15.109375" style="145" customWidth="1"/>
    <col min="7" max="7" width="15.88671875" style="145" customWidth="1"/>
    <col min="8" max="8" width="14.109375" style="145" customWidth="1"/>
    <col min="9" max="9" width="15.109375" style="145" customWidth="1"/>
    <col min="10" max="10" width="14.109375" style="145" customWidth="1"/>
    <col min="11" max="11" width="12.6640625" style="146" customWidth="1"/>
    <col min="12" max="12" width="13" style="145" customWidth="1"/>
    <col min="13" max="13" width="12.33203125" style="145" customWidth="1"/>
    <col min="14" max="15" width="15.5546875" style="145" customWidth="1"/>
    <col min="16" max="17" width="15.6640625" style="145" customWidth="1"/>
    <col min="18" max="27" width="9.109375" style="145" customWidth="1"/>
    <col min="28" max="16384" width="9.109375" style="145"/>
  </cols>
  <sheetData>
    <row r="1" spans="1:13" ht="15" customHeight="1" x14ac:dyDescent="0.2">
      <c r="A1" s="2" t="s">
        <v>250</v>
      </c>
      <c r="B1" s="556" t="str">
        <f>IF('Summary Template'!B1&lt;&gt;0,'Summary Template'!B1,"")</f>
        <v/>
      </c>
      <c r="C1" s="556"/>
      <c r="D1" s="147"/>
      <c r="E1" s="147"/>
      <c r="F1" s="147"/>
      <c r="H1" s="200" t="s">
        <v>320</v>
      </c>
      <c r="I1" s="113"/>
      <c r="J1" s="201"/>
      <c r="K1" s="145"/>
    </row>
    <row r="2" spans="1:13" ht="15" customHeight="1" x14ac:dyDescent="0.2">
      <c r="A2" s="2" t="s">
        <v>251</v>
      </c>
      <c r="B2" s="557" t="str">
        <f>IF('Summary Template'!B2&lt;&gt;0,'Summary Template'!B2,"")</f>
        <v/>
      </c>
      <c r="C2" s="557" t="str">
        <f>IF('Summary Template'!C2&lt;&gt;0,'Summary Template'!C2,"")</f>
        <v/>
      </c>
      <c r="E2" s="142"/>
      <c r="F2" s="142"/>
      <c r="H2" s="202" t="s">
        <v>310</v>
      </c>
      <c r="I2" s="202"/>
      <c r="J2" s="202"/>
      <c r="K2" s="145"/>
    </row>
    <row r="3" spans="1:13" ht="15" customHeight="1" x14ac:dyDescent="0.2">
      <c r="A3" s="2" t="s">
        <v>254</v>
      </c>
      <c r="B3" s="557" t="str">
        <f>IF('Summary Template'!B3&lt;&gt;0,'Summary Template'!B3,"")</f>
        <v/>
      </c>
      <c r="C3" s="557" t="str">
        <f>IF('Summary Template'!C3&lt;&gt;0,'Summary Template'!C3,"")</f>
        <v/>
      </c>
      <c r="D3" s="143"/>
      <c r="E3" s="144"/>
      <c r="F3" s="144"/>
      <c r="H3" s="137" t="s">
        <v>279</v>
      </c>
      <c r="I3" s="137"/>
      <c r="J3" s="137"/>
      <c r="K3" s="145"/>
    </row>
    <row r="4" spans="1:13" ht="15" customHeight="1" x14ac:dyDescent="0.2">
      <c r="A4" s="2" t="s">
        <v>255</v>
      </c>
      <c r="B4" s="557" t="str">
        <f>IF('Summary Template'!B4&lt;&gt;0,'Summary Template'!B4,"")</f>
        <v/>
      </c>
      <c r="C4" s="557" t="str">
        <f>IF('Summary Template'!C4&lt;&gt;0,'Summary Template'!C4,"")</f>
        <v/>
      </c>
      <c r="D4" s="143"/>
      <c r="E4" s="144"/>
      <c r="F4" s="144"/>
      <c r="H4" s="203" t="s">
        <v>319</v>
      </c>
      <c r="I4" s="203"/>
      <c r="J4" s="203"/>
      <c r="K4" s="145"/>
    </row>
    <row r="5" spans="1:13" ht="15" customHeight="1" x14ac:dyDescent="0.2">
      <c r="A5" s="2" t="s">
        <v>256</v>
      </c>
      <c r="B5" s="152"/>
      <c r="C5" s="153"/>
      <c r="D5" s="143"/>
      <c r="E5" s="144"/>
      <c r="F5" s="144"/>
      <c r="H5" s="204" t="str">
        <f>'Dates-Rates'!B11&amp;" Calculated Values - Do Not Change"</f>
        <v>2020 Calculated Values - Do Not Change</v>
      </c>
      <c r="I5" s="205"/>
      <c r="J5" s="205"/>
      <c r="K5" s="145"/>
    </row>
    <row r="6" spans="1:13" ht="15" customHeight="1" x14ac:dyDescent="0.2">
      <c r="A6" s="2" t="s">
        <v>338</v>
      </c>
      <c r="B6" s="154"/>
      <c r="C6" s="153"/>
      <c r="D6" s="143"/>
      <c r="E6" s="144"/>
      <c r="F6" s="144"/>
      <c r="H6" s="206" t="str">
        <f>'Dates-Rates'!B12&amp;" Calculated Values - Do Not Change"</f>
        <v>2021 Calculated Values - Do Not Change</v>
      </c>
      <c r="I6" s="207"/>
      <c r="J6" s="207"/>
      <c r="K6" s="145"/>
    </row>
    <row r="7" spans="1:13" ht="15" customHeight="1" thickBot="1" x14ac:dyDescent="0.25">
      <c r="A7" s="143"/>
      <c r="B7" s="155"/>
      <c r="C7" s="143"/>
      <c r="D7" s="143"/>
      <c r="E7" s="156"/>
      <c r="F7" s="156"/>
      <c r="K7" s="145"/>
    </row>
    <row r="8" spans="1:13" ht="15" customHeight="1" thickBot="1" x14ac:dyDescent="0.25">
      <c r="A8" s="390" t="s">
        <v>276</v>
      </c>
      <c r="B8" s="158"/>
      <c r="C8" s="504" t="s">
        <v>18</v>
      </c>
      <c r="D8" s="505"/>
      <c r="E8" s="111" t="str">
        <f>"SFY "&amp;'Dates-Rates'!$B$11</f>
        <v>SFY 2020</v>
      </c>
      <c r="F8" s="112" t="str">
        <f>"SFY "&amp;'Dates-Rates'!$B$12</f>
        <v>SFY 2021</v>
      </c>
      <c r="J8" s="146"/>
      <c r="K8" s="145"/>
    </row>
    <row r="9" spans="1:13" ht="15" customHeight="1" x14ac:dyDescent="0.2">
      <c r="A9" s="194" t="s">
        <v>277</v>
      </c>
      <c r="B9" s="138">
        <f>'Summary Template'!B8</f>
        <v>0</v>
      </c>
      <c r="C9" s="517" t="s">
        <v>290</v>
      </c>
      <c r="D9" s="518"/>
      <c r="E9" s="196">
        <f>SUM(M37:N37)</f>
        <v>0</v>
      </c>
      <c r="F9" s="197">
        <f>SUM(O37:P37)</f>
        <v>0</v>
      </c>
      <c r="K9" s="145"/>
      <c r="M9" s="160"/>
    </row>
    <row r="10" spans="1:13" ht="15" customHeight="1" x14ac:dyDescent="0.2">
      <c r="A10" s="195" t="s">
        <v>278</v>
      </c>
      <c r="B10" s="138">
        <f>'Summary Template'!B9</f>
        <v>0</v>
      </c>
      <c r="C10" s="506" t="s">
        <v>378</v>
      </c>
      <c r="D10" s="519"/>
      <c r="E10" s="198">
        <f>I47</f>
        <v>0</v>
      </c>
      <c r="F10" s="199">
        <f>K47</f>
        <v>0</v>
      </c>
      <c r="K10" s="145"/>
      <c r="M10" s="160"/>
    </row>
    <row r="11" spans="1:13" ht="15" customHeight="1" x14ac:dyDescent="0.2">
      <c r="C11" s="506" t="s">
        <v>291</v>
      </c>
      <c r="D11" s="519"/>
      <c r="E11" s="198">
        <f>H72+G84</f>
        <v>0</v>
      </c>
      <c r="F11" s="199">
        <f>I72+J84</f>
        <v>0</v>
      </c>
      <c r="I11" s="146"/>
      <c r="K11" s="145"/>
      <c r="M11" s="160"/>
    </row>
    <row r="12" spans="1:13" ht="15" customHeight="1" x14ac:dyDescent="0.2">
      <c r="C12" s="506" t="s">
        <v>295</v>
      </c>
      <c r="D12" s="519"/>
      <c r="E12" s="198">
        <f>H93</f>
        <v>0</v>
      </c>
      <c r="F12" s="199">
        <f>I93</f>
        <v>0</v>
      </c>
      <c r="I12" s="146"/>
      <c r="K12" s="145"/>
    </row>
    <row r="13" spans="1:13" ht="15" customHeight="1" x14ac:dyDescent="0.2">
      <c r="C13" s="506" t="s">
        <v>293</v>
      </c>
      <c r="D13" s="519"/>
      <c r="E13" s="198">
        <f>H108+H121</f>
        <v>0</v>
      </c>
      <c r="F13" s="199">
        <f>I108+I121</f>
        <v>0</v>
      </c>
      <c r="I13" s="146"/>
      <c r="K13" s="145"/>
    </row>
    <row r="14" spans="1:13" ht="15" customHeight="1" x14ac:dyDescent="0.2">
      <c r="C14" s="558" t="s">
        <v>321</v>
      </c>
      <c r="D14" s="559"/>
      <c r="E14" s="198">
        <f>H127</f>
        <v>0</v>
      </c>
      <c r="F14" s="199">
        <f>I127</f>
        <v>0</v>
      </c>
      <c r="I14" s="146"/>
      <c r="K14" s="145"/>
    </row>
    <row r="15" spans="1:13" ht="15" customHeight="1" thickBot="1" x14ac:dyDescent="0.25">
      <c r="C15" s="493" t="s">
        <v>475</v>
      </c>
      <c r="D15" s="514"/>
      <c r="E15" s="114">
        <f>SUM(E9:E14)</f>
        <v>0</v>
      </c>
      <c r="F15" s="115">
        <f>SUM(F9:F14)</f>
        <v>0</v>
      </c>
      <c r="I15" s="146"/>
      <c r="K15" s="145"/>
    </row>
    <row r="16" spans="1:13" ht="15" customHeight="1" thickTop="1" x14ac:dyDescent="0.2">
      <c r="C16" s="148"/>
      <c r="D16" s="148"/>
      <c r="E16" s="161"/>
      <c r="F16" s="161"/>
      <c r="G16" s="161"/>
      <c r="K16" s="145"/>
    </row>
    <row r="17" spans="1:26" ht="16.5" customHeight="1" x14ac:dyDescent="0.2">
      <c r="A17" s="149"/>
      <c r="N17" s="162"/>
      <c r="O17" s="162"/>
      <c r="T17" s="163"/>
    </row>
    <row r="18" spans="1:26" ht="13.5" customHeight="1" x14ac:dyDescent="0.25">
      <c r="A18" s="239" t="s">
        <v>317</v>
      </c>
      <c r="B18" s="239"/>
      <c r="C18" s="239"/>
      <c r="D18" s="239"/>
      <c r="E18" s="239"/>
      <c r="F18" s="239"/>
      <c r="G18" s="240"/>
      <c r="H18" s="240"/>
      <c r="I18" s="240"/>
      <c r="J18" s="240"/>
      <c r="K18" s="458" t="str">
        <f>$E$8</f>
        <v>SFY 2020</v>
      </c>
      <c r="L18" s="209" t="str">
        <f>$F$8</f>
        <v>SFY 2021</v>
      </c>
      <c r="M18" s="458" t="str">
        <f t="shared" ref="M18:N18" si="0">$E$8</f>
        <v>SFY 2020</v>
      </c>
      <c r="N18" s="458" t="str">
        <f t="shared" si="0"/>
        <v>SFY 2020</v>
      </c>
      <c r="O18" s="209" t="str">
        <f t="shared" ref="O18:P18" si="1">$F$8</f>
        <v>SFY 2021</v>
      </c>
      <c r="P18" s="209" t="str">
        <f t="shared" si="1"/>
        <v>SFY 2021</v>
      </c>
      <c r="Q18" s="522"/>
      <c r="Z18" s="163"/>
    </row>
    <row r="19" spans="1:26" ht="88.95" customHeight="1" x14ac:dyDescent="0.25">
      <c r="A19" s="241" t="s">
        <v>331</v>
      </c>
      <c r="B19" s="241" t="s">
        <v>253</v>
      </c>
      <c r="C19" s="241" t="s">
        <v>51</v>
      </c>
      <c r="D19" s="241" t="s">
        <v>32</v>
      </c>
      <c r="E19" s="241" t="s">
        <v>15</v>
      </c>
      <c r="F19" s="241" t="s">
        <v>289</v>
      </c>
      <c r="G19" s="242" t="str">
        <f>"START
DATE
"&amp;
"Yr1 = "&amp;TEXT('Dates-Rates'!B14,"mm/d/yyyy")&amp;" or later
"&amp;
"Yr2 = "&amp;TEXT('Dates-Rates'!B15,"mm/d/yyyy")&amp;" or later"</f>
        <v>START
DATE
Yr1 = 10/1/2019 or later
Yr2 = 07/1/2020 or later</v>
      </c>
      <c r="H19" s="242" t="s">
        <v>86</v>
      </c>
      <c r="I19" s="242" t="s">
        <v>29</v>
      </c>
      <c r="J19" s="242" t="s">
        <v>24</v>
      </c>
      <c r="K19" s="210" t="s">
        <v>334</v>
      </c>
      <c r="L19" s="209" t="s">
        <v>334</v>
      </c>
      <c r="M19" s="211" t="s">
        <v>339</v>
      </c>
      <c r="N19" s="211" t="s">
        <v>340</v>
      </c>
      <c r="O19" s="212" t="s">
        <v>339</v>
      </c>
      <c r="P19" s="212" t="s">
        <v>340</v>
      </c>
      <c r="Q19" s="522"/>
      <c r="V19" s="164"/>
      <c r="W19" s="164"/>
      <c r="X19" s="164"/>
    </row>
    <row r="20" spans="1:26" ht="12.75" x14ac:dyDescent="0.2">
      <c r="A20" s="454"/>
      <c r="B20" s="450"/>
      <c r="C20" s="450"/>
      <c r="D20" s="117"/>
      <c r="E20" s="69"/>
      <c r="F20" s="117"/>
      <c r="G20" s="453"/>
      <c r="H20" s="128"/>
      <c r="I20" s="123"/>
      <c r="J20" s="123"/>
      <c r="K20" s="213" t="str">
        <f>IF($G20&gt;='Dates-Rates'!$B$4,IF($G20&lt;='Dates-Rates'!B$5,(ROUND((('Dates-Rates'!B$5-$G20)/30.4),0)*$F20),0),"")</f>
        <v/>
      </c>
      <c r="L20" s="214" t="str">
        <f>IF($G20&gt;='Dates-Rates'!$B$4,IF($G20&lt;='Dates-Rates'!B$6,(ROUND((('Dates-Rates'!B$6-'Dates-Rates'!B$4)/30.4),0)*$F20),(ROUND((('Dates-Rates'!B$8-G20)/30.4),0)*F20)),"")</f>
        <v/>
      </c>
      <c r="M20" s="215" t="str">
        <f>IF($B20&gt;"",SUMIFS('NEBS 130 Template'!S:S,'NEBS 130 Template'!$E:$E,$B20, 'NEBS 130 Template'!$K:$K,$G20),"")</f>
        <v/>
      </c>
      <c r="N20" s="215" t="str">
        <f>IF($B20&gt;"",SUMIFS('NEBS 130 Template'!T:T,'NEBS 130 Template'!$E:$E,$B20, 'NEBS 130 Template'!$K:$K,$G20),"")</f>
        <v/>
      </c>
      <c r="O20" s="216" t="str">
        <f>IF($B20&gt;"",SUMIFS('NEBS 130 Template'!U:U,'NEBS 130 Template'!$E:$E,$B20, 'NEBS 130 Template'!$K:$K,$G20),"")</f>
        <v/>
      </c>
      <c r="P20" s="216" t="str">
        <f>IF($B20&gt;"",SUMIFS('NEBS 130 Template'!V:V,'NEBS 130 Template'!$E:$E,$B20, 'NEBS 130 Template'!$K:$K,$G20),"")</f>
        <v/>
      </c>
      <c r="Q20" s="165"/>
      <c r="U20" s="163"/>
      <c r="V20" s="163"/>
      <c r="W20" s="163"/>
      <c r="X20" s="163"/>
    </row>
    <row r="21" spans="1:26" ht="12.75" x14ac:dyDescent="0.2">
      <c r="A21" s="455"/>
      <c r="B21" s="452"/>
      <c r="C21" s="451"/>
      <c r="D21" s="119"/>
      <c r="E21" s="139"/>
      <c r="F21" s="119"/>
      <c r="G21" s="453"/>
      <c r="H21" s="129"/>
      <c r="I21" s="124"/>
      <c r="J21" s="124"/>
      <c r="K21" s="213" t="str">
        <f>IF($G21&gt;='Dates-Rates'!$B$4,IF($G21&lt;='Dates-Rates'!B$5,(ROUND((('Dates-Rates'!B$5-$G21)/30.4),0)*$F21),0),"")</f>
        <v/>
      </c>
      <c r="L21" s="214" t="str">
        <f>IF($G21&gt;='Dates-Rates'!$B$4,IF($G21&lt;='Dates-Rates'!B$6,(ROUND((('Dates-Rates'!B$6-'Dates-Rates'!B$4)/30.4),0)*$F21),(ROUND((('Dates-Rates'!B$8-G21)/30.4),0)*F21)),"")</f>
        <v/>
      </c>
      <c r="M21" s="215" t="str">
        <f>IF($B21&gt;"",SUMIFS('NEBS 130 Template'!S:S,'NEBS 130 Template'!$E:$E,$B21, 'NEBS 130 Template'!$K:$K,$G21),"")</f>
        <v/>
      </c>
      <c r="N21" s="215" t="str">
        <f>IF($B21&gt;"",SUMIFS('NEBS 130 Template'!T:T,'NEBS 130 Template'!$E:$E,$B21, 'NEBS 130 Template'!$K:$K,$G21),"")</f>
        <v/>
      </c>
      <c r="O21" s="217" t="str">
        <f>IF($B21&gt;"",SUMIFS('NEBS 130 Template'!U:U,'NEBS 130 Template'!$E:$E,$B21, 'NEBS 130 Template'!$K:$K,$G21),"")</f>
        <v/>
      </c>
      <c r="P21" s="217" t="str">
        <f>IF($B21&gt;"",SUMIFS('NEBS 130 Template'!V:V,'NEBS 130 Template'!$E:$E,$B21, 'NEBS 130 Template'!$K:$K,$G21),"")</f>
        <v/>
      </c>
      <c r="Q21" s="165"/>
      <c r="U21" s="163"/>
      <c r="W21" s="166"/>
      <c r="X21" s="167"/>
    </row>
    <row r="22" spans="1:26" ht="12" customHeight="1" x14ac:dyDescent="0.2">
      <c r="A22" s="455"/>
      <c r="B22" s="451"/>
      <c r="C22" s="451"/>
      <c r="D22" s="119"/>
      <c r="E22" s="139"/>
      <c r="F22" s="119"/>
      <c r="G22" s="453"/>
      <c r="H22" s="129"/>
      <c r="I22" s="124"/>
      <c r="J22" s="124"/>
      <c r="K22" s="213" t="str">
        <f>IF($G22&gt;='Dates-Rates'!$B$4,IF($G22&lt;='Dates-Rates'!B$5,(ROUND((('Dates-Rates'!B$5-$G22)/30.4),0)*$F22),0),"")</f>
        <v/>
      </c>
      <c r="L22" s="214" t="str">
        <f>IF($G22&gt;='Dates-Rates'!$B$4,IF($G22&lt;='Dates-Rates'!B$6,(ROUND((('Dates-Rates'!B$6-'Dates-Rates'!B$4)/30.4),0)*$F22),(ROUND((('Dates-Rates'!B$8-G22)/30.4),0)*F22)),"")</f>
        <v/>
      </c>
      <c r="M22" s="215" t="str">
        <f>IF($B22&gt;"",SUMIFS('NEBS 130 Template'!S:S,'NEBS 130 Template'!$E:$E,$B22, 'NEBS 130 Template'!$K:$K,$G22),"")</f>
        <v/>
      </c>
      <c r="N22" s="215" t="str">
        <f>IF($B22&gt;"",SUMIFS('NEBS 130 Template'!T:T,'NEBS 130 Template'!$E:$E,$B22, 'NEBS 130 Template'!$K:$K,$G22),"")</f>
        <v/>
      </c>
      <c r="O22" s="217" t="str">
        <f>IF($B22&gt;"",SUMIFS('NEBS 130 Template'!U:U,'NEBS 130 Template'!$E:$E,$B22, 'NEBS 130 Template'!$K:$K,$G22),"")</f>
        <v/>
      </c>
      <c r="P22" s="217" t="str">
        <f>IF($B22&gt;"",SUMIFS('NEBS 130 Template'!V:V,'NEBS 130 Template'!$E:$E,$B22, 'NEBS 130 Template'!$K:$K,$G22),"")</f>
        <v/>
      </c>
      <c r="Q22" s="165"/>
      <c r="U22" s="163"/>
      <c r="W22" s="166"/>
      <c r="X22" s="167"/>
    </row>
    <row r="23" spans="1:26" ht="12" customHeight="1" x14ac:dyDescent="0.2">
      <c r="A23" s="455"/>
      <c r="B23" s="451"/>
      <c r="C23" s="451"/>
      <c r="D23" s="119"/>
      <c r="E23" s="139"/>
      <c r="F23" s="119"/>
      <c r="G23" s="453"/>
      <c r="H23" s="129"/>
      <c r="I23" s="124"/>
      <c r="J23" s="124"/>
      <c r="K23" s="213" t="str">
        <f>IF($G23&gt;='Dates-Rates'!$B$4,IF($G23&lt;='Dates-Rates'!B$5,(ROUND((('Dates-Rates'!B$5-$G23)/30.4),0)*$F23),0),"")</f>
        <v/>
      </c>
      <c r="L23" s="214" t="str">
        <f>IF($G23&gt;='Dates-Rates'!$B$4,IF($G23&lt;='Dates-Rates'!B$6,(ROUND((('Dates-Rates'!B$6-'Dates-Rates'!B$4)/30.4),0)*$F23),(ROUND((('Dates-Rates'!B$8-G23)/30.4),0)*F23)),"")</f>
        <v/>
      </c>
      <c r="M23" s="215" t="str">
        <f>IF($B23&gt;"",SUMIFS('NEBS 130 Template'!S:S,'NEBS 130 Template'!$E:$E,$B23, 'NEBS 130 Template'!$K:$K,$G23),"")</f>
        <v/>
      </c>
      <c r="N23" s="215" t="str">
        <f>IF($B23&gt;"",SUMIFS('NEBS 130 Template'!T:T,'NEBS 130 Template'!$E:$E,$B23, 'NEBS 130 Template'!$K:$K,$G23),"")</f>
        <v/>
      </c>
      <c r="O23" s="217" t="str">
        <f>IF($B23&gt;"",SUMIFS('NEBS 130 Template'!U:U,'NEBS 130 Template'!$E:$E,$B23, 'NEBS 130 Template'!$K:$K,$G23),"")</f>
        <v/>
      </c>
      <c r="P23" s="217" t="str">
        <f>IF($B23&gt;"",SUMIFS('NEBS 130 Template'!V:V,'NEBS 130 Template'!$E:$E,$B23, 'NEBS 130 Template'!$K:$K,$G23),"")</f>
        <v/>
      </c>
      <c r="Q23" s="165"/>
      <c r="U23" s="163"/>
      <c r="W23" s="166"/>
      <c r="X23" s="167"/>
    </row>
    <row r="24" spans="1:26" ht="12" customHeight="1" x14ac:dyDescent="0.2">
      <c r="A24" s="455"/>
      <c r="B24" s="451"/>
      <c r="C24" s="451"/>
      <c r="D24" s="119"/>
      <c r="E24" s="139"/>
      <c r="F24" s="119"/>
      <c r="G24" s="453"/>
      <c r="H24" s="129"/>
      <c r="I24" s="124"/>
      <c r="J24" s="124"/>
      <c r="K24" s="213" t="str">
        <f>IF($G24&gt;='Dates-Rates'!$B$4,IF($G24&lt;='Dates-Rates'!B$5,(ROUND((('Dates-Rates'!B$5-$G24)/30.4),0)*$F24),0),"")</f>
        <v/>
      </c>
      <c r="L24" s="214" t="str">
        <f>IF($G24&gt;='Dates-Rates'!$B$4,IF($G24&lt;='Dates-Rates'!B$6,(ROUND((('Dates-Rates'!B$6-'Dates-Rates'!B$4)/30.4),0)*$F24),(ROUND((('Dates-Rates'!B$8-G24)/30.4),0)*F24)),"")</f>
        <v/>
      </c>
      <c r="M24" s="215" t="str">
        <f>IF($B24&gt;"",SUMIFS('NEBS 130 Template'!S:S,'NEBS 130 Template'!$E:$E,$B24, 'NEBS 130 Template'!$K:$K,$G24),"")</f>
        <v/>
      </c>
      <c r="N24" s="215" t="str">
        <f>IF($B24&gt;"",SUMIFS('NEBS 130 Template'!T:T,'NEBS 130 Template'!$E:$E,$B24, 'NEBS 130 Template'!$K:$K,$G24),"")</f>
        <v/>
      </c>
      <c r="O24" s="217" t="str">
        <f>IF($B24&gt;"",SUMIFS('NEBS 130 Template'!U:U,'NEBS 130 Template'!$E:$E,$B24, 'NEBS 130 Template'!$K:$K,$G24),"")</f>
        <v/>
      </c>
      <c r="P24" s="217" t="str">
        <f>IF($B24&gt;"",SUMIFS('NEBS 130 Template'!V:V,'NEBS 130 Template'!$E:$E,$B24, 'NEBS 130 Template'!$K:$K,$G24),"")</f>
        <v/>
      </c>
      <c r="Q24" s="165"/>
      <c r="U24" s="163"/>
      <c r="W24" s="166"/>
      <c r="X24" s="167"/>
    </row>
    <row r="25" spans="1:26" ht="12" customHeight="1" x14ac:dyDescent="0.2">
      <c r="A25" s="455"/>
      <c r="B25" s="451"/>
      <c r="C25" s="451"/>
      <c r="D25" s="119"/>
      <c r="E25" s="139"/>
      <c r="F25" s="119"/>
      <c r="G25" s="453"/>
      <c r="H25" s="129"/>
      <c r="I25" s="124"/>
      <c r="J25" s="124"/>
      <c r="K25" s="213" t="str">
        <f>IF($G25&gt;='Dates-Rates'!$B$4,IF($G25&lt;='Dates-Rates'!B$5,(ROUND((('Dates-Rates'!B$5-$G25)/30.4),0)*$F25),0),"")</f>
        <v/>
      </c>
      <c r="L25" s="214" t="str">
        <f>IF($G25&gt;='Dates-Rates'!$B$4,IF($G25&lt;='Dates-Rates'!B$6,(ROUND((('Dates-Rates'!B$6-'Dates-Rates'!B$4)/30.4),0)*$F25),(ROUND((('Dates-Rates'!B$8-G25)/30.4),0)*F25)),"")</f>
        <v/>
      </c>
      <c r="M25" s="215" t="str">
        <f>IF($B25&gt;"",SUMIFS('NEBS 130 Template'!S:S,'NEBS 130 Template'!$E:$E,$B25, 'NEBS 130 Template'!$K:$K,$G25),"")</f>
        <v/>
      </c>
      <c r="N25" s="215" t="str">
        <f>IF($B25&gt;"",SUMIFS('NEBS 130 Template'!T:T,'NEBS 130 Template'!$E:$E,$B25, 'NEBS 130 Template'!$K:$K,$G25),"")</f>
        <v/>
      </c>
      <c r="O25" s="217" t="str">
        <f>IF($B25&gt;"",SUMIFS('NEBS 130 Template'!U:U,'NEBS 130 Template'!$E:$E,$B25, 'NEBS 130 Template'!$K:$K,$G25),"")</f>
        <v/>
      </c>
      <c r="P25" s="217" t="str">
        <f>IF($B25&gt;"",SUMIFS('NEBS 130 Template'!V:V,'NEBS 130 Template'!$E:$E,$B25, 'NEBS 130 Template'!$K:$K,$G25),"")</f>
        <v/>
      </c>
      <c r="Q25" s="165"/>
      <c r="U25" s="163"/>
      <c r="V25" s="163"/>
      <c r="W25" s="166"/>
      <c r="X25" s="167"/>
    </row>
    <row r="26" spans="1:26" ht="12" customHeight="1" x14ac:dyDescent="0.2">
      <c r="A26" s="455"/>
      <c r="B26" s="451"/>
      <c r="C26" s="451"/>
      <c r="D26" s="119"/>
      <c r="E26" s="139"/>
      <c r="F26" s="119"/>
      <c r="G26" s="453"/>
      <c r="H26" s="129"/>
      <c r="I26" s="124"/>
      <c r="J26" s="124"/>
      <c r="K26" s="213" t="str">
        <f>IF($G26&gt;='Dates-Rates'!$B$4,IF($G26&lt;='Dates-Rates'!B$5,(ROUND((('Dates-Rates'!B$5-$G26)/30.4),0)*$F26),0),"")</f>
        <v/>
      </c>
      <c r="L26" s="214" t="str">
        <f>IF($G26&gt;='Dates-Rates'!$B$4,IF($G26&lt;='Dates-Rates'!B$6,(ROUND((('Dates-Rates'!B$6-'Dates-Rates'!B$4)/30.4),0)*$F26),(ROUND((('Dates-Rates'!B$8-G26)/30.4),0)*F26)),"")</f>
        <v/>
      </c>
      <c r="M26" s="215" t="str">
        <f>IF($B26&gt;"",SUMIFS('NEBS 130 Template'!S:S,'NEBS 130 Template'!$E:$E,$B26, 'NEBS 130 Template'!$K:$K,$G26),"")</f>
        <v/>
      </c>
      <c r="N26" s="215" t="str">
        <f>IF($B26&gt;"",SUMIFS('NEBS 130 Template'!T:T,'NEBS 130 Template'!$E:$E,$B26, 'NEBS 130 Template'!$K:$K,$G26),"")</f>
        <v/>
      </c>
      <c r="O26" s="217" t="str">
        <f>IF($B26&gt;"",SUMIFS('NEBS 130 Template'!U:U,'NEBS 130 Template'!$E:$E,$B26, 'NEBS 130 Template'!$K:$K,$G26),"")</f>
        <v/>
      </c>
      <c r="P26" s="217" t="str">
        <f>IF($B26&gt;"",SUMIFS('NEBS 130 Template'!V:V,'NEBS 130 Template'!$E:$E,$B26, 'NEBS 130 Template'!$K:$K,$G26),"")</f>
        <v/>
      </c>
      <c r="Q26" s="165"/>
      <c r="V26" s="163"/>
      <c r="W26" s="166"/>
      <c r="X26" s="167"/>
    </row>
    <row r="27" spans="1:26" ht="12" customHeight="1" x14ac:dyDescent="0.2">
      <c r="A27" s="455"/>
      <c r="B27" s="451"/>
      <c r="C27" s="451"/>
      <c r="D27" s="119"/>
      <c r="E27" s="139"/>
      <c r="F27" s="119"/>
      <c r="G27" s="453"/>
      <c r="H27" s="129"/>
      <c r="I27" s="124"/>
      <c r="J27" s="124"/>
      <c r="K27" s="213" t="str">
        <f>IF($G27&gt;='Dates-Rates'!$B$4,IF($G27&lt;='Dates-Rates'!B$5,(ROUND((('Dates-Rates'!B$5-$G27)/30.4),0)*$F27),0),"")</f>
        <v/>
      </c>
      <c r="L27" s="214" t="str">
        <f>IF($G27&gt;='Dates-Rates'!$B$4,IF($G27&lt;='Dates-Rates'!B$6,(ROUND((('Dates-Rates'!B$6-'Dates-Rates'!B$4)/30.4),0)*$F27),(ROUND((('Dates-Rates'!B$8-G27)/30.4),0)*F27)),"")</f>
        <v/>
      </c>
      <c r="M27" s="215" t="str">
        <f>IF($B27&gt;"",SUMIFS('NEBS 130 Template'!S:S,'NEBS 130 Template'!$E:$E,$B27, 'NEBS 130 Template'!$K:$K,$G27),"")</f>
        <v/>
      </c>
      <c r="N27" s="215" t="str">
        <f>IF($B27&gt;"",SUMIFS('NEBS 130 Template'!T:T,'NEBS 130 Template'!$E:$E,$B27, 'NEBS 130 Template'!$K:$K,$G27),"")</f>
        <v/>
      </c>
      <c r="O27" s="217" t="str">
        <f>IF($B27&gt;"",SUMIFS('NEBS 130 Template'!U:U,'NEBS 130 Template'!$E:$E,$B27, 'NEBS 130 Template'!$K:$K,$G27),"")</f>
        <v/>
      </c>
      <c r="P27" s="217" t="str">
        <f>IF($B27&gt;"",SUMIFS('NEBS 130 Template'!V:V,'NEBS 130 Template'!$E:$E,$B27, 'NEBS 130 Template'!$K:$K,$G27),"")</f>
        <v/>
      </c>
      <c r="Q27" s="165"/>
    </row>
    <row r="28" spans="1:26" ht="12" customHeight="1" x14ac:dyDescent="0.2">
      <c r="A28" s="455"/>
      <c r="B28" s="451"/>
      <c r="C28" s="451"/>
      <c r="D28" s="119"/>
      <c r="E28" s="139"/>
      <c r="F28" s="119"/>
      <c r="G28" s="453"/>
      <c r="H28" s="129"/>
      <c r="I28" s="124"/>
      <c r="J28" s="124"/>
      <c r="K28" s="213" t="str">
        <f>IF($G28&gt;='Dates-Rates'!$B$4,IF($G28&lt;='Dates-Rates'!B$5,(ROUND((('Dates-Rates'!B$5-$G28)/30.4),0)*$F28),0),"")</f>
        <v/>
      </c>
      <c r="L28" s="214" t="str">
        <f>IF($G28&gt;='Dates-Rates'!$B$4,IF($G28&lt;='Dates-Rates'!B$6,(ROUND((('Dates-Rates'!B$6-'Dates-Rates'!B$4)/30.4),0)*$F28),(ROUND((('Dates-Rates'!B$8-G28)/30.4),0)*F28)),"")</f>
        <v/>
      </c>
      <c r="M28" s="215" t="str">
        <f>IF($B28&gt;"",SUMIFS('NEBS 130 Template'!S:S,'NEBS 130 Template'!$E:$E,$B28, 'NEBS 130 Template'!$K:$K,$G28),"")</f>
        <v/>
      </c>
      <c r="N28" s="215" t="str">
        <f>IF($B28&gt;"",SUMIFS('NEBS 130 Template'!T:T,'NEBS 130 Template'!$E:$E,$B28, 'NEBS 130 Template'!$K:$K,$G28),"")</f>
        <v/>
      </c>
      <c r="O28" s="217" t="str">
        <f>IF($B28&gt;"",SUMIFS('NEBS 130 Template'!U:U,'NEBS 130 Template'!$E:$E,$B28, 'NEBS 130 Template'!$K:$K,$G28),"")</f>
        <v/>
      </c>
      <c r="P28" s="217" t="str">
        <f>IF($B28&gt;"",SUMIFS('NEBS 130 Template'!V:V,'NEBS 130 Template'!$E:$E,$B28, 'NEBS 130 Template'!$K:$K,$G28),"")</f>
        <v/>
      </c>
      <c r="Q28" s="165"/>
    </row>
    <row r="29" spans="1:26" ht="12" customHeight="1" x14ac:dyDescent="0.2">
      <c r="A29" s="455"/>
      <c r="B29" s="451"/>
      <c r="C29" s="451"/>
      <c r="D29" s="119"/>
      <c r="E29" s="139"/>
      <c r="F29" s="119"/>
      <c r="G29" s="453"/>
      <c r="H29" s="129"/>
      <c r="I29" s="124"/>
      <c r="J29" s="124"/>
      <c r="K29" s="213" t="str">
        <f>IF($G29&gt;='Dates-Rates'!$B$4,IF($G29&lt;='Dates-Rates'!B$5,(ROUND((('Dates-Rates'!B$5-$G29)/30.4),0)*$F29),0),"")</f>
        <v/>
      </c>
      <c r="L29" s="214" t="str">
        <f>IF($G29&gt;='Dates-Rates'!$B$4,IF($G29&lt;='Dates-Rates'!B$6,(ROUND((('Dates-Rates'!B$6-'Dates-Rates'!B$4)/30.4),0)*$F29),(ROUND((('Dates-Rates'!B$8-G29)/30.4),0)*F29)),"")</f>
        <v/>
      </c>
      <c r="M29" s="215" t="str">
        <f>IF($B29&gt;"",SUMIFS('NEBS 130 Template'!S:S,'NEBS 130 Template'!$E:$E,$B29, 'NEBS 130 Template'!$K:$K,$G29),"")</f>
        <v/>
      </c>
      <c r="N29" s="215" t="str">
        <f>IF($B29&gt;"",SUMIFS('NEBS 130 Template'!T:T,'NEBS 130 Template'!$E:$E,$B29, 'NEBS 130 Template'!$K:$K,$G29),"")</f>
        <v/>
      </c>
      <c r="O29" s="217" t="str">
        <f>IF($B29&gt;"",SUMIFS('NEBS 130 Template'!U:U,'NEBS 130 Template'!$E:$E,$B29, 'NEBS 130 Template'!$K:$K,$G29),"")</f>
        <v/>
      </c>
      <c r="P29" s="217" t="str">
        <f>IF($B29&gt;"",SUMIFS('NEBS 130 Template'!V:V,'NEBS 130 Template'!$E:$E,$B29, 'NEBS 130 Template'!$K:$K,$G29),"")</f>
        <v/>
      </c>
      <c r="Q29" s="165"/>
    </row>
    <row r="30" spans="1:26" ht="12" customHeight="1" x14ac:dyDescent="0.2">
      <c r="A30" s="455"/>
      <c r="B30" s="451"/>
      <c r="C30" s="451"/>
      <c r="D30" s="119"/>
      <c r="E30" s="139"/>
      <c r="F30" s="119"/>
      <c r="G30" s="453"/>
      <c r="H30" s="129"/>
      <c r="I30" s="124"/>
      <c r="J30" s="124"/>
      <c r="K30" s="213" t="str">
        <f>IF($G30&gt;='Dates-Rates'!$B$4,IF($G30&lt;='Dates-Rates'!B$5,(ROUND((('Dates-Rates'!B$5-$G30)/30.4),0)*$F30),0),"")</f>
        <v/>
      </c>
      <c r="L30" s="214" t="str">
        <f>IF($G30&gt;='Dates-Rates'!$B$4,IF($G30&lt;='Dates-Rates'!B$6,(ROUND((('Dates-Rates'!B$6-'Dates-Rates'!B$4)/30.4),0)*$F30),(ROUND((('Dates-Rates'!B$8-G30)/30.4),0)*F30)),"")</f>
        <v/>
      </c>
      <c r="M30" s="215" t="str">
        <f>IF($B30&gt;"",SUMIFS('NEBS 130 Template'!S:S,'NEBS 130 Template'!$E:$E,$B30, 'NEBS 130 Template'!$K:$K,$G30),"")</f>
        <v/>
      </c>
      <c r="N30" s="215" t="str">
        <f>IF($B30&gt;"",SUMIFS('NEBS 130 Template'!T:T,'NEBS 130 Template'!$E:$E,$B30, 'NEBS 130 Template'!$K:$K,$G30),"")</f>
        <v/>
      </c>
      <c r="O30" s="217" t="str">
        <f>IF($B30&gt;"",SUMIFS('NEBS 130 Template'!U:U,'NEBS 130 Template'!$E:$E,$B30, 'NEBS 130 Template'!$K:$K,$G30),"")</f>
        <v/>
      </c>
      <c r="P30" s="217" t="str">
        <f>IF($B30&gt;"",SUMIFS('NEBS 130 Template'!V:V,'NEBS 130 Template'!$E:$E,$B30, 'NEBS 130 Template'!$K:$K,$G30),"")</f>
        <v/>
      </c>
      <c r="Q30" s="165"/>
    </row>
    <row r="31" spans="1:26" ht="12" customHeight="1" x14ac:dyDescent="0.2">
      <c r="A31" s="455"/>
      <c r="B31" s="451"/>
      <c r="C31" s="451"/>
      <c r="D31" s="119"/>
      <c r="E31" s="139"/>
      <c r="F31" s="119"/>
      <c r="G31" s="453"/>
      <c r="H31" s="129"/>
      <c r="I31" s="124"/>
      <c r="J31" s="124"/>
      <c r="K31" s="213" t="str">
        <f>IF($G31&gt;='Dates-Rates'!$B$4,IF($G31&lt;='Dates-Rates'!B$5,(ROUND((('Dates-Rates'!B$5-$G31)/30.4),0)*$F31),0),"")</f>
        <v/>
      </c>
      <c r="L31" s="214" t="str">
        <f>IF($G31&gt;='Dates-Rates'!$B$4,IF($G31&lt;='Dates-Rates'!B$6,(ROUND((('Dates-Rates'!B$6-'Dates-Rates'!B$4)/30.4),0)*$F31),(ROUND((('Dates-Rates'!B$8-G31)/30.4),0)*F31)),"")</f>
        <v/>
      </c>
      <c r="M31" s="215" t="str">
        <f>IF($B31&gt;"",SUMIFS('NEBS 130 Template'!S:S,'NEBS 130 Template'!$E:$E,$B31, 'NEBS 130 Template'!$K:$K,$G31),"")</f>
        <v/>
      </c>
      <c r="N31" s="215" t="str">
        <f>IF($B31&gt;"",SUMIFS('NEBS 130 Template'!T:T,'NEBS 130 Template'!$E:$E,$B31, 'NEBS 130 Template'!$K:$K,$G31),"")</f>
        <v/>
      </c>
      <c r="O31" s="217" t="str">
        <f>IF($B31&gt;"",SUMIFS('NEBS 130 Template'!U:U,'NEBS 130 Template'!$E:$E,$B31, 'NEBS 130 Template'!$K:$K,$G31),"")</f>
        <v/>
      </c>
      <c r="P31" s="217" t="str">
        <f>IF($B31&gt;"",SUMIFS('NEBS 130 Template'!V:V,'NEBS 130 Template'!$E:$E,$B31, 'NEBS 130 Template'!$K:$K,$G31),"")</f>
        <v/>
      </c>
      <c r="Q31" s="165"/>
    </row>
    <row r="32" spans="1:26" ht="12" customHeight="1" x14ac:dyDescent="0.2">
      <c r="A32" s="455"/>
      <c r="B32" s="451"/>
      <c r="C32" s="451"/>
      <c r="D32" s="119"/>
      <c r="E32" s="139"/>
      <c r="F32" s="119"/>
      <c r="G32" s="453"/>
      <c r="H32" s="129"/>
      <c r="I32" s="124"/>
      <c r="J32" s="124"/>
      <c r="K32" s="213" t="str">
        <f>IF($G32&gt;='Dates-Rates'!$B$4,IF($G32&lt;='Dates-Rates'!B$5,(ROUND((('Dates-Rates'!B$5-$G32)/30.4),0)*$F32),0),"")</f>
        <v/>
      </c>
      <c r="L32" s="214" t="str">
        <f>IF($G32&gt;='Dates-Rates'!$B$4,IF($G32&lt;='Dates-Rates'!B$6,(ROUND((('Dates-Rates'!B$6-'Dates-Rates'!B$4)/30.4),0)*$F32),(ROUND((('Dates-Rates'!B$8-G32)/30.4),0)*F32)),"")</f>
        <v/>
      </c>
      <c r="M32" s="215" t="str">
        <f>IF($B32&gt;"",SUMIFS('NEBS 130 Template'!S:S,'NEBS 130 Template'!$E:$E,$B32, 'NEBS 130 Template'!$K:$K,$G32),"")</f>
        <v/>
      </c>
      <c r="N32" s="215" t="str">
        <f>IF($B32&gt;"",SUMIFS('NEBS 130 Template'!T:T,'NEBS 130 Template'!$E:$E,$B32, 'NEBS 130 Template'!$K:$K,$G32),"")</f>
        <v/>
      </c>
      <c r="O32" s="217" t="str">
        <f>IF($B32&gt;"",SUMIFS('NEBS 130 Template'!U:U,'NEBS 130 Template'!$E:$E,$B32, 'NEBS 130 Template'!$K:$K,$G32),"")</f>
        <v/>
      </c>
      <c r="P32" s="217" t="str">
        <f>IF($B32&gt;"",SUMIFS('NEBS 130 Template'!V:V,'NEBS 130 Template'!$E:$E,$B32, 'NEBS 130 Template'!$K:$K,$G32),"")</f>
        <v/>
      </c>
      <c r="Q32" s="165"/>
    </row>
    <row r="33" spans="1:24" ht="12" customHeight="1" x14ac:dyDescent="0.2">
      <c r="A33" s="455"/>
      <c r="B33" s="451"/>
      <c r="C33" s="451"/>
      <c r="D33" s="119"/>
      <c r="E33" s="139"/>
      <c r="F33" s="119"/>
      <c r="G33" s="453"/>
      <c r="H33" s="129"/>
      <c r="I33" s="124"/>
      <c r="J33" s="124"/>
      <c r="K33" s="213" t="str">
        <f>IF($G33&gt;='Dates-Rates'!$B$4,IF($G33&lt;='Dates-Rates'!B$5,(ROUND((('Dates-Rates'!B$5-$G33)/30.4),0)*$F33),0),"")</f>
        <v/>
      </c>
      <c r="L33" s="214" t="str">
        <f>IF($G33&gt;='Dates-Rates'!$B$4,IF($G33&lt;='Dates-Rates'!B$6,(ROUND((('Dates-Rates'!B$6-'Dates-Rates'!B$4)/30.4),0)*$F33),(ROUND((('Dates-Rates'!B$8-G33)/30.4),0)*F33)),"")</f>
        <v/>
      </c>
      <c r="M33" s="215" t="str">
        <f>IF($B33&gt;"",SUMIFS('NEBS 130 Template'!S:S,'NEBS 130 Template'!$E:$E,$B33, 'NEBS 130 Template'!$K:$K,$G33),"")</f>
        <v/>
      </c>
      <c r="N33" s="215" t="str">
        <f>IF($B33&gt;"",SUMIFS('NEBS 130 Template'!T:T,'NEBS 130 Template'!$E:$E,$B33, 'NEBS 130 Template'!$K:$K,$G33),"")</f>
        <v/>
      </c>
      <c r="O33" s="217" t="str">
        <f>IF($B33&gt;"",SUMIFS('NEBS 130 Template'!U:U,'NEBS 130 Template'!$E:$E,$B33, 'NEBS 130 Template'!$K:$K,$G33),"")</f>
        <v/>
      </c>
      <c r="P33" s="217" t="str">
        <f>IF($B33&gt;"",SUMIFS('NEBS 130 Template'!V:V,'NEBS 130 Template'!$E:$E,$B33, 'NEBS 130 Template'!$K:$K,$G33),"")</f>
        <v/>
      </c>
      <c r="Q33" s="165"/>
    </row>
    <row r="34" spans="1:24" ht="12" customHeight="1" x14ac:dyDescent="0.25">
      <c r="A34" s="93"/>
      <c r="B34" s="452"/>
      <c r="C34" s="452"/>
      <c r="D34" s="121"/>
      <c r="E34" s="140"/>
      <c r="F34" s="121"/>
      <c r="G34" s="453"/>
      <c r="H34" s="130"/>
      <c r="I34" s="125"/>
      <c r="J34" s="125"/>
      <c r="K34" s="213" t="str">
        <f>IF($G34&gt;='Dates-Rates'!$B$4,IF($G34&lt;='Dates-Rates'!B$5,(ROUND((('Dates-Rates'!B$5-$G34)/30.4),0)*$F34),0),"")</f>
        <v/>
      </c>
      <c r="L34" s="214" t="str">
        <f>IF($G34&gt;='Dates-Rates'!$B$4,IF($G34&lt;='Dates-Rates'!B$6,(ROUND((('Dates-Rates'!B$6-'Dates-Rates'!B$4)/30.4),0)*$F34),(ROUND((('Dates-Rates'!B$8-G34)/30.4),0)*F34)),"")</f>
        <v/>
      </c>
      <c r="M34" s="215" t="str">
        <f>IF($B34&gt;"",SUMIFS('NEBS 130 Template'!S:S,'NEBS 130 Template'!$E:$E,$B34, 'NEBS 130 Template'!$K:$K,$G34),"")</f>
        <v/>
      </c>
      <c r="N34" s="215" t="str">
        <f>IF($B34&gt;"",SUMIFS('NEBS 130 Template'!T:T,'NEBS 130 Template'!$E:$E,$B34, 'NEBS 130 Template'!$K:$K,$G34),"")</f>
        <v/>
      </c>
      <c r="O34" s="217" t="str">
        <f>IF($B34&gt;"",SUMIFS('NEBS 130 Template'!U:U,'NEBS 130 Template'!$E:$E,$B34, 'NEBS 130 Template'!$K:$K,$G34),"")</f>
        <v/>
      </c>
      <c r="P34" s="217" t="str">
        <f>IF($B34&gt;"",SUMIFS('NEBS 130 Template'!V:V,'NEBS 130 Template'!$E:$E,$B34, 'NEBS 130 Template'!$K:$K,$G34),"")</f>
        <v/>
      </c>
      <c r="Q34" s="165"/>
    </row>
    <row r="35" spans="1:24" ht="12" customHeight="1" x14ac:dyDescent="0.25">
      <c r="A35" s="93"/>
      <c r="B35" s="452"/>
      <c r="C35" s="127"/>
      <c r="D35" s="122"/>
      <c r="E35" s="141"/>
      <c r="F35" s="122"/>
      <c r="G35" s="453"/>
      <c r="H35" s="131"/>
      <c r="I35" s="126"/>
      <c r="J35" s="126"/>
      <c r="K35" s="218" t="str">
        <f>IF($G35&gt;='Dates-Rates'!$B$4,IF($G35&lt;='Dates-Rates'!B$5,(ROUND((('Dates-Rates'!B$5-$G35)/30.4),0)*$F35),0),"")</f>
        <v/>
      </c>
      <c r="L35" s="219" t="str">
        <f>IF($G35&gt;='Dates-Rates'!$B$4,IF($G35&lt;='Dates-Rates'!B$6,(ROUND((('Dates-Rates'!B$6-'Dates-Rates'!B$4)/30.4),0)*$F35),(ROUND((('Dates-Rates'!B$8-G35)/30.4),0)*F35)),"")</f>
        <v/>
      </c>
      <c r="M35" s="220" t="str">
        <f>IF($B35&gt;"",SUMIFS('NEBS 130 Template'!S:S,'NEBS 130 Template'!$E:$E,$B35, 'NEBS 130 Template'!$K:$K,$G35),"")</f>
        <v/>
      </c>
      <c r="N35" s="220" t="str">
        <f>IF($B35&gt;"",SUMIFS('NEBS 130 Template'!T:T,'NEBS 130 Template'!$E:$E,$B35, 'NEBS 130 Template'!$K:$K,$G35),"")</f>
        <v/>
      </c>
      <c r="O35" s="221" t="str">
        <f>IF($B35&gt;"",SUMIFS('NEBS 130 Template'!U:U,'NEBS 130 Template'!$E:$E,$B35, 'NEBS 130 Template'!$K:$K,$G35),"")</f>
        <v/>
      </c>
      <c r="P35" s="221" t="str">
        <f>IF($B35&gt;"",SUMIFS('NEBS 130 Template'!V:V,'NEBS 130 Template'!$E:$E,$B35, 'NEBS 130 Template'!$K:$K,$G35),"")</f>
        <v/>
      </c>
      <c r="Q35" s="165"/>
    </row>
    <row r="36" spans="1:24" ht="12" customHeight="1" x14ac:dyDescent="0.25">
      <c r="A36" s="235" t="s">
        <v>14</v>
      </c>
      <c r="B36" s="236"/>
      <c r="C36" s="237"/>
      <c r="D36" s="230"/>
      <c r="E36" s="231"/>
      <c r="F36" s="232">
        <f>SUM(F20:F35)</f>
        <v>0</v>
      </c>
      <c r="G36" s="231"/>
      <c r="H36" s="231"/>
      <c r="I36" s="231"/>
      <c r="J36" s="233">
        <f>SUMIF(J20:J35,"yes",F20:F35)</f>
        <v>0</v>
      </c>
      <c r="K36" s="222"/>
      <c r="L36" s="223"/>
      <c r="M36" s="224"/>
      <c r="N36" s="224"/>
      <c r="O36" s="225"/>
      <c r="P36" s="225"/>
    </row>
    <row r="37" spans="1:24" ht="13.8" thickBot="1" x14ac:dyDescent="0.3">
      <c r="A37" s="562" t="s">
        <v>296</v>
      </c>
      <c r="B37" s="563"/>
      <c r="C37" s="238"/>
      <c r="D37" s="234"/>
      <c r="E37" s="234"/>
      <c r="F37" s="234"/>
      <c r="G37" s="234"/>
      <c r="H37" s="234"/>
      <c r="I37" s="234"/>
      <c r="J37" s="234"/>
      <c r="K37" s="226">
        <f>SUM(K20:K35)</f>
        <v>0</v>
      </c>
      <c r="L37" s="227">
        <f>SUM(L20:L35)</f>
        <v>0</v>
      </c>
      <c r="M37" s="228">
        <f>SUM(M20:M36)</f>
        <v>0</v>
      </c>
      <c r="N37" s="228">
        <f>SUM(N20:N36)</f>
        <v>0</v>
      </c>
      <c r="O37" s="229">
        <f>SUM(O20:O36)</f>
        <v>0</v>
      </c>
      <c r="P37" s="229">
        <f>SUM(P20:P36)</f>
        <v>0</v>
      </c>
    </row>
    <row r="38" spans="1:24" s="163" customFormat="1" ht="14.1" customHeight="1" thickTop="1" x14ac:dyDescent="0.25">
      <c r="A38" s="169"/>
      <c r="B38" s="170"/>
      <c r="C38" s="171"/>
      <c r="D38" s="172"/>
      <c r="E38" s="173"/>
      <c r="F38" s="173"/>
      <c r="G38" s="173"/>
      <c r="H38" s="173"/>
      <c r="I38" s="173"/>
      <c r="J38" s="173"/>
      <c r="K38" s="173"/>
      <c r="L38" s="174"/>
      <c r="N38" s="145"/>
      <c r="O38" s="145"/>
      <c r="P38" s="145"/>
      <c r="U38" s="145"/>
      <c r="V38" s="145"/>
      <c r="W38" s="145"/>
      <c r="X38" s="145"/>
    </row>
    <row r="39" spans="1:24" s="163" customFormat="1" ht="14.1" customHeight="1" x14ac:dyDescent="0.25">
      <c r="A39" s="169"/>
      <c r="B39" s="170"/>
      <c r="C39" s="171"/>
      <c r="D39" s="172"/>
      <c r="E39" s="173"/>
      <c r="F39" s="173"/>
      <c r="G39" s="173"/>
      <c r="H39" s="173"/>
      <c r="I39" s="173"/>
      <c r="J39" s="173"/>
      <c r="K39" s="173"/>
      <c r="L39" s="174"/>
      <c r="N39" s="145"/>
      <c r="O39" s="145"/>
      <c r="P39" s="145"/>
      <c r="U39" s="145"/>
      <c r="V39" s="145"/>
      <c r="W39" s="145"/>
      <c r="X39" s="145"/>
    </row>
    <row r="40" spans="1:24" ht="13.2" customHeight="1" x14ac:dyDescent="0.3">
      <c r="A40" s="243" t="s">
        <v>297</v>
      </c>
      <c r="B40" s="244"/>
      <c r="C40" s="244"/>
      <c r="D40" s="245"/>
      <c r="E40" s="245"/>
      <c r="F40" s="245"/>
      <c r="G40" s="246"/>
      <c r="H40" s="523" t="str">
        <f>E8</f>
        <v>SFY 2020</v>
      </c>
      <c r="I40" s="524"/>
      <c r="J40" s="525" t="str">
        <f>F8</f>
        <v>SFY 2021</v>
      </c>
      <c r="K40" s="528"/>
      <c r="P40" s="175"/>
      <c r="T40" s="163"/>
    </row>
    <row r="41" spans="1:24" ht="56.25" customHeight="1" x14ac:dyDescent="0.3">
      <c r="A41" s="241" t="s">
        <v>316</v>
      </c>
      <c r="B41" s="241" t="s">
        <v>315</v>
      </c>
      <c r="C41" s="242" t="s">
        <v>2</v>
      </c>
      <c r="D41" s="247" t="s">
        <v>83</v>
      </c>
      <c r="E41" s="241" t="s">
        <v>84</v>
      </c>
      <c r="F41" s="247" t="s">
        <v>85</v>
      </c>
      <c r="G41" s="241" t="s">
        <v>23</v>
      </c>
      <c r="H41" s="248" t="s">
        <v>27</v>
      </c>
      <c r="I41" s="248" t="s">
        <v>22</v>
      </c>
      <c r="J41" s="249" t="s">
        <v>27</v>
      </c>
      <c r="K41" s="249" t="s">
        <v>22</v>
      </c>
      <c r="N41" s="175"/>
      <c r="O41" s="175"/>
      <c r="T41" s="163"/>
    </row>
    <row r="42" spans="1:24" s="163" customFormat="1" ht="12" customHeight="1" x14ac:dyDescent="0.25">
      <c r="A42" s="250" t="s">
        <v>13</v>
      </c>
      <c r="B42" s="251">
        <v>6200</v>
      </c>
      <c r="C42" s="252" t="s">
        <v>52</v>
      </c>
      <c r="D42" s="253">
        <f>SUMIFS('NEBS Actuals Template'!F:F,'NEBS Actuals Template'!D:D,B42)</f>
        <v>0</v>
      </c>
      <c r="E42" s="254">
        <f>IF(D42&gt;0.01,D42/12,0)</f>
        <v>0</v>
      </c>
      <c r="F42" s="255">
        <f>$B$10</f>
        <v>0</v>
      </c>
      <c r="G42" s="254">
        <f>IF(D42&gt;0.01,E42/F42,0)</f>
        <v>0</v>
      </c>
      <c r="H42" s="256">
        <f>SUMIF(J20:J35,"yes",K20:K35)</f>
        <v>0</v>
      </c>
      <c r="I42" s="257">
        <f>IF(D42&gt;0.01,G42*H42,0)</f>
        <v>0</v>
      </c>
      <c r="J42" s="258">
        <f>SUMIF(J20:J35,"yes",L20:L35)</f>
        <v>0</v>
      </c>
      <c r="K42" s="258">
        <f>IF(D42&gt;0.01,G42*J42,0)</f>
        <v>0</v>
      </c>
      <c r="N42" s="145"/>
      <c r="O42" s="145"/>
      <c r="P42" s="145"/>
      <c r="U42" s="145"/>
      <c r="V42" s="145"/>
      <c r="W42" s="145"/>
      <c r="X42" s="145"/>
    </row>
    <row r="43" spans="1:24" s="163" customFormat="1" ht="12" customHeight="1" x14ac:dyDescent="0.25">
      <c r="A43" s="260" t="s">
        <v>13</v>
      </c>
      <c r="B43" s="261">
        <v>6210</v>
      </c>
      <c r="C43" s="262" t="s">
        <v>70</v>
      </c>
      <c r="D43" s="263">
        <f>SUMIFS('NEBS Actuals Template'!F:F,'NEBS Actuals Template'!D:D,B43)</f>
        <v>0</v>
      </c>
      <c r="E43" s="264">
        <f t="shared" ref="E43:E46" si="2">IF(D43&gt;0.01,D43/12,0)</f>
        <v>0</v>
      </c>
      <c r="F43" s="265">
        <f>$B$10</f>
        <v>0</v>
      </c>
      <c r="G43" s="264">
        <f t="shared" ref="G43:G46" si="3">IF(D43&gt;0.01,E43/F43,0)</f>
        <v>0</v>
      </c>
      <c r="H43" s="266">
        <f>SUMIF(J20:J35,"yes",K20:K35)</f>
        <v>0</v>
      </c>
      <c r="I43" s="267">
        <f t="shared" ref="I43:I46" si="4">IF(D43&gt;0.01,G43*H43,0)</f>
        <v>0</v>
      </c>
      <c r="J43" s="268">
        <f>SUMIF(J20:J35,"yes",L20:L35)</f>
        <v>0</v>
      </c>
      <c r="K43" s="268">
        <f t="shared" ref="K43:K46" si="5">IF(D43&gt;0.01,G43*J43,0)</f>
        <v>0</v>
      </c>
      <c r="N43" s="145"/>
      <c r="O43" s="145"/>
      <c r="T43" s="145"/>
    </row>
    <row r="44" spans="1:24" s="163" customFormat="1" ht="12" customHeight="1" x14ac:dyDescent="0.25">
      <c r="A44" s="260" t="s">
        <v>13</v>
      </c>
      <c r="B44" s="261">
        <v>6215</v>
      </c>
      <c r="C44" s="262" t="s">
        <v>53</v>
      </c>
      <c r="D44" s="263">
        <f>SUMIFS('NEBS Actuals Template'!F:F,'NEBS Actuals Template'!D:D,B44)</f>
        <v>0</v>
      </c>
      <c r="E44" s="264">
        <f t="shared" si="2"/>
        <v>0</v>
      </c>
      <c r="F44" s="265">
        <f>$B$10</f>
        <v>0</v>
      </c>
      <c r="G44" s="264">
        <f t="shared" si="3"/>
        <v>0</v>
      </c>
      <c r="H44" s="266">
        <f>SUMIF(J20:J35,"yes",K20:K35)</f>
        <v>0</v>
      </c>
      <c r="I44" s="267">
        <f t="shared" si="4"/>
        <v>0</v>
      </c>
      <c r="J44" s="268">
        <f>SUMIF(J20:J35,"yes",L20:L35)</f>
        <v>0</v>
      </c>
      <c r="K44" s="268">
        <f t="shared" si="5"/>
        <v>0</v>
      </c>
      <c r="T44" s="145"/>
    </row>
    <row r="45" spans="1:24" s="163" customFormat="1" ht="12" customHeight="1" x14ac:dyDescent="0.25">
      <c r="A45" s="270" t="s">
        <v>13</v>
      </c>
      <c r="B45" s="271">
        <v>6240</v>
      </c>
      <c r="C45" s="272" t="s">
        <v>54</v>
      </c>
      <c r="D45" s="263">
        <f>SUMIFS('NEBS Actuals Template'!F:F,'NEBS Actuals Template'!D:D,B45)</f>
        <v>0</v>
      </c>
      <c r="E45" s="264">
        <f t="shared" si="2"/>
        <v>0</v>
      </c>
      <c r="F45" s="265">
        <f>$B$10</f>
        <v>0</v>
      </c>
      <c r="G45" s="264">
        <f t="shared" si="3"/>
        <v>0</v>
      </c>
      <c r="H45" s="266">
        <f>SUMIF(J20:J35,"yes",K20:K35)</f>
        <v>0</v>
      </c>
      <c r="I45" s="267">
        <f t="shared" si="4"/>
        <v>0</v>
      </c>
      <c r="J45" s="268">
        <f>SUMIF(J20:J35,"yes",L20:L35)</f>
        <v>0</v>
      </c>
      <c r="K45" s="268">
        <f t="shared" si="5"/>
        <v>0</v>
      </c>
      <c r="T45" s="145"/>
    </row>
    <row r="46" spans="1:24" s="163" customFormat="1" ht="12" customHeight="1" x14ac:dyDescent="0.25">
      <c r="A46" s="273" t="s">
        <v>13</v>
      </c>
      <c r="B46" s="274">
        <v>6250</v>
      </c>
      <c r="C46" s="275" t="s">
        <v>55</v>
      </c>
      <c r="D46" s="276">
        <f>SUMIFS('NEBS Actuals Template'!F:F,'NEBS Actuals Template'!D:D,B46)</f>
        <v>0</v>
      </c>
      <c r="E46" s="264">
        <f t="shared" si="2"/>
        <v>0</v>
      </c>
      <c r="F46" s="277">
        <f>$B$10</f>
        <v>0</v>
      </c>
      <c r="G46" s="264">
        <f t="shared" si="3"/>
        <v>0</v>
      </c>
      <c r="H46" s="266">
        <f>SUMIF(J20:J35,"yes",K20:K35)</f>
        <v>0</v>
      </c>
      <c r="I46" s="278">
        <f t="shared" si="4"/>
        <v>0</v>
      </c>
      <c r="J46" s="268">
        <f>SUMIF(J20:J35,"yes",L20:L35)</f>
        <v>0</v>
      </c>
      <c r="K46" s="268">
        <f t="shared" si="5"/>
        <v>0</v>
      </c>
      <c r="T46" s="145"/>
    </row>
    <row r="47" spans="1:24" ht="12" customHeight="1" x14ac:dyDescent="0.25">
      <c r="A47" s="235" t="s">
        <v>298</v>
      </c>
      <c r="B47" s="237"/>
      <c r="C47" s="237"/>
      <c r="D47" s="280"/>
      <c r="E47" s="280"/>
      <c r="F47" s="280"/>
      <c r="G47" s="280"/>
      <c r="H47" s="281">
        <f>SUM(H42:H46)</f>
        <v>0</v>
      </c>
      <c r="I47" s="282">
        <f>SUM(I42:I46)</f>
        <v>0</v>
      </c>
      <c r="J47" s="283">
        <f>SUM(J42:J46)</f>
        <v>0</v>
      </c>
      <c r="K47" s="283">
        <f>SUM(K42:K46)</f>
        <v>0</v>
      </c>
      <c r="N47" s="163"/>
      <c r="O47" s="163"/>
      <c r="P47" s="163"/>
      <c r="U47" s="163"/>
      <c r="V47" s="163"/>
      <c r="W47" s="163"/>
      <c r="X47" s="163"/>
    </row>
    <row r="48" spans="1:24" ht="12" customHeight="1" x14ac:dyDescent="0.25">
      <c r="A48" s="176"/>
      <c r="B48" s="176"/>
      <c r="C48" s="176"/>
      <c r="D48" s="176"/>
      <c r="E48" s="176"/>
      <c r="F48" s="176"/>
      <c r="G48" s="176"/>
      <c r="H48" s="176"/>
      <c r="I48" s="177"/>
      <c r="J48" s="178"/>
      <c r="K48" s="178"/>
      <c r="N48" s="163"/>
      <c r="O48" s="163"/>
    </row>
    <row r="49" spans="1:15" ht="12" customHeight="1" x14ac:dyDescent="0.25">
      <c r="A49" s="176"/>
      <c r="B49" s="176"/>
      <c r="C49" s="176"/>
      <c r="D49" s="176"/>
      <c r="E49" s="176"/>
      <c r="F49" s="176"/>
      <c r="G49" s="176"/>
      <c r="H49" s="176"/>
      <c r="I49" s="177"/>
      <c r="J49" s="178"/>
      <c r="K49" s="178"/>
      <c r="N49" s="163"/>
      <c r="O49" s="163"/>
    </row>
    <row r="50" spans="1:15" ht="12.75" customHeight="1" x14ac:dyDescent="0.25">
      <c r="A50" s="285" t="s">
        <v>12</v>
      </c>
      <c r="B50" s="286"/>
      <c r="C50" s="286"/>
      <c r="D50" s="286"/>
      <c r="E50" s="286"/>
      <c r="F50" s="457"/>
      <c r="G50" s="288"/>
      <c r="H50" s="210" t="str">
        <f>E8</f>
        <v>SFY 2020</v>
      </c>
      <c r="I50" s="209" t="str">
        <f>F8</f>
        <v>SFY 2021</v>
      </c>
      <c r="J50" s="153"/>
      <c r="K50" s="145"/>
    </row>
    <row r="51" spans="1:15" ht="45.75" customHeight="1" x14ac:dyDescent="0.25">
      <c r="A51" s="289" t="s">
        <v>259</v>
      </c>
      <c r="B51" s="290"/>
      <c r="C51" s="290"/>
      <c r="D51" s="247" t="s">
        <v>261</v>
      </c>
      <c r="E51" s="241" t="s">
        <v>262</v>
      </c>
      <c r="F51" s="247" t="s">
        <v>263</v>
      </c>
      <c r="G51" s="247" t="s">
        <v>264</v>
      </c>
      <c r="H51" s="248" t="s">
        <v>22</v>
      </c>
      <c r="I51" s="249" t="s">
        <v>22</v>
      </c>
      <c r="K51" s="145"/>
    </row>
    <row r="52" spans="1:15" ht="12" customHeight="1" x14ac:dyDescent="0.25">
      <c r="A52" s="241" t="s">
        <v>316</v>
      </c>
      <c r="B52" s="241" t="s">
        <v>315</v>
      </c>
      <c r="C52" s="242" t="s">
        <v>2</v>
      </c>
      <c r="D52" s="231"/>
      <c r="E52" s="231"/>
      <c r="F52" s="231"/>
      <c r="G52" s="293"/>
      <c r="H52" s="293"/>
      <c r="I52" s="294"/>
      <c r="K52" s="145"/>
    </row>
    <row r="53" spans="1:15" ht="13.2" customHeight="1" x14ac:dyDescent="0.25">
      <c r="A53" s="250" t="s">
        <v>5</v>
      </c>
      <c r="B53" s="251">
        <v>7050</v>
      </c>
      <c r="C53" s="295" t="s">
        <v>257</v>
      </c>
      <c r="D53" s="253">
        <f>'Dates-Rates'!D21</f>
        <v>1.5</v>
      </c>
      <c r="E53" s="253">
        <f>'Dates-Rates'!E21</f>
        <v>1.5</v>
      </c>
      <c r="F53" s="255">
        <f>SUMIFS($F$20:$F$35,$G$20:$G$35,"&lt;"&amp;'Dates-Rates'!B6)</f>
        <v>0</v>
      </c>
      <c r="G53" s="255">
        <f>SUMIFS($F$20:$F$35,$G$20:$G$35,"&gt;="&amp;'Dates-Rates'!B6)+F53</f>
        <v>0</v>
      </c>
      <c r="H53" s="296">
        <f>$F53*$D53</f>
        <v>0</v>
      </c>
      <c r="I53" s="297">
        <f>$G53*$E53</f>
        <v>0</v>
      </c>
      <c r="K53" s="145"/>
    </row>
    <row r="54" spans="1:15" ht="13.2" customHeight="1" x14ac:dyDescent="0.25">
      <c r="A54" s="260" t="s">
        <v>5</v>
      </c>
      <c r="B54" s="261">
        <v>7054</v>
      </c>
      <c r="C54" s="298" t="s">
        <v>258</v>
      </c>
      <c r="D54" s="391">
        <f>'Dates-Rates'!D22</f>
        <v>97.07</v>
      </c>
      <c r="E54" s="302">
        <f>'Dates-Rates'!E22</f>
        <v>97.07</v>
      </c>
      <c r="F54" s="265">
        <f>SUMIFS($F$20:$F$35,$G$20:$G$35,"&lt;"&amp;'Dates-Rates'!B6)</f>
        <v>0</v>
      </c>
      <c r="G54" s="265">
        <f>SUMIFS($F$20:$F$35,$G$20:$G$35,"&gt;="&amp;'Dates-Rates'!B6)+F54</f>
        <v>0</v>
      </c>
      <c r="H54" s="296">
        <f>$F54*$D54</f>
        <v>0</v>
      </c>
      <c r="I54" s="297">
        <f>$G54*$E54</f>
        <v>0</v>
      </c>
      <c r="K54" s="145"/>
    </row>
    <row r="55" spans="1:15" ht="59.25" customHeight="1" x14ac:dyDescent="0.25">
      <c r="A55" s="289" t="s">
        <v>282</v>
      </c>
      <c r="B55" s="290"/>
      <c r="C55" s="290"/>
      <c r="D55" s="247" t="s">
        <v>260</v>
      </c>
      <c r="E55" s="241" t="s">
        <v>84</v>
      </c>
      <c r="F55" s="247" t="s">
        <v>275</v>
      </c>
      <c r="G55" s="241" t="s">
        <v>23</v>
      </c>
      <c r="H55" s="248" t="s">
        <v>22</v>
      </c>
      <c r="I55" s="249" t="s">
        <v>22</v>
      </c>
      <c r="K55" s="145"/>
    </row>
    <row r="56" spans="1:15" ht="12" customHeight="1" x14ac:dyDescent="0.25">
      <c r="A56" s="241" t="s">
        <v>316</v>
      </c>
      <c r="B56" s="241" t="s">
        <v>315</v>
      </c>
      <c r="C56" s="242" t="s">
        <v>2</v>
      </c>
      <c r="D56" s="231"/>
      <c r="E56" s="231"/>
      <c r="F56" s="231"/>
      <c r="G56" s="293"/>
      <c r="H56" s="293"/>
      <c r="I56" s="294"/>
      <c r="K56" s="145"/>
    </row>
    <row r="57" spans="1:15" ht="13.2" customHeight="1" x14ac:dyDescent="0.25">
      <c r="A57" s="299" t="s">
        <v>5</v>
      </c>
      <c r="B57" s="300">
        <v>7020</v>
      </c>
      <c r="C57" s="301" t="s">
        <v>56</v>
      </c>
      <c r="D57" s="302">
        <f>SUMIFS('NEBS Actuals Template'!F:F,'NEBS Actuals Template'!D:D,B57)</f>
        <v>0</v>
      </c>
      <c r="E57" s="303">
        <f>IF(D57&gt;0.01,D57/12,0)</f>
        <v>0</v>
      </c>
      <c r="F57" s="304">
        <f t="shared" ref="F57:F69" si="6">$B$9</f>
        <v>0</v>
      </c>
      <c r="G57" s="305">
        <f>IF(D57&gt;0.01,E57/F57,0)</f>
        <v>0</v>
      </c>
      <c r="H57" s="296">
        <f t="shared" ref="H57:H71" si="7">IF(D57&gt;0.01,G57*$K$37,0)</f>
        <v>0</v>
      </c>
      <c r="I57" s="297">
        <f t="shared" ref="I57:I71" si="8">IF(D57&gt;0,G57*$L$37,0)</f>
        <v>0</v>
      </c>
      <c r="K57" s="145"/>
    </row>
    <row r="58" spans="1:15" ht="13.2" customHeight="1" x14ac:dyDescent="0.25">
      <c r="A58" s="299" t="s">
        <v>5</v>
      </c>
      <c r="B58" s="300">
        <v>7027</v>
      </c>
      <c r="C58" s="306" t="s">
        <v>74</v>
      </c>
      <c r="D58" s="263">
        <f>SUMIFS('NEBS Actuals Template'!F:F,'NEBS Actuals Template'!D:D,B58)</f>
        <v>0</v>
      </c>
      <c r="E58" s="307">
        <f>IF(D58&gt;0.01,D58/12,0)</f>
        <v>0</v>
      </c>
      <c r="F58" s="304">
        <f t="shared" si="6"/>
        <v>0</v>
      </c>
      <c r="G58" s="308">
        <f>IF(D58&gt;0.01,E58/F58,0)</f>
        <v>0</v>
      </c>
      <c r="H58" s="309">
        <f t="shared" si="7"/>
        <v>0</v>
      </c>
      <c r="I58" s="310">
        <f t="shared" si="8"/>
        <v>0</v>
      </c>
      <c r="K58" s="145"/>
    </row>
    <row r="59" spans="1:15" ht="12" customHeight="1" x14ac:dyDescent="0.25">
      <c r="A59" s="260" t="s">
        <v>5</v>
      </c>
      <c r="B59" s="261">
        <v>7040</v>
      </c>
      <c r="C59" s="311" t="s">
        <v>57</v>
      </c>
      <c r="D59" s="263">
        <f>SUMIFS('NEBS Actuals Template'!F:F,'NEBS Actuals Template'!D:D,B59)</f>
        <v>0</v>
      </c>
      <c r="E59" s="307">
        <f t="shared" ref="E59:E71" si="9">IF(D59&gt;0.01,D59/12,0)</f>
        <v>0</v>
      </c>
      <c r="F59" s="304">
        <f t="shared" si="6"/>
        <v>0</v>
      </c>
      <c r="G59" s="308">
        <f t="shared" ref="G59:G69" si="10">IF(D59&gt;0.01,E59/F59,0)</f>
        <v>0</v>
      </c>
      <c r="H59" s="309">
        <f t="shared" si="7"/>
        <v>0</v>
      </c>
      <c r="I59" s="310">
        <f t="shared" si="8"/>
        <v>0</v>
      </c>
      <c r="K59" s="145"/>
    </row>
    <row r="60" spans="1:15" ht="12" customHeight="1" x14ac:dyDescent="0.25">
      <c r="A60" s="260" t="s">
        <v>5</v>
      </c>
      <c r="B60" s="261">
        <v>7041</v>
      </c>
      <c r="C60" s="311" t="s">
        <v>71</v>
      </c>
      <c r="D60" s="263">
        <f>SUMIFS('NEBS Actuals Template'!F:F,'NEBS Actuals Template'!D:D,B60)</f>
        <v>0</v>
      </c>
      <c r="E60" s="307">
        <f t="shared" si="9"/>
        <v>0</v>
      </c>
      <c r="F60" s="304">
        <f t="shared" si="6"/>
        <v>0</v>
      </c>
      <c r="G60" s="308">
        <f t="shared" si="10"/>
        <v>0</v>
      </c>
      <c r="H60" s="309">
        <f t="shared" si="7"/>
        <v>0</v>
      </c>
      <c r="I60" s="310">
        <f t="shared" si="8"/>
        <v>0</v>
      </c>
      <c r="K60" s="145"/>
    </row>
    <row r="61" spans="1:15" ht="12" customHeight="1" x14ac:dyDescent="0.25">
      <c r="A61" s="260" t="s">
        <v>5</v>
      </c>
      <c r="B61" s="261">
        <v>7042</v>
      </c>
      <c r="C61" s="311" t="s">
        <v>72</v>
      </c>
      <c r="D61" s="263">
        <f>SUMIFS('NEBS Actuals Template'!F:F,'NEBS Actuals Template'!D:D,B61)</f>
        <v>0</v>
      </c>
      <c r="E61" s="307">
        <f t="shared" si="9"/>
        <v>0</v>
      </c>
      <c r="F61" s="304">
        <f t="shared" si="6"/>
        <v>0</v>
      </c>
      <c r="G61" s="308">
        <f t="shared" si="10"/>
        <v>0</v>
      </c>
      <c r="H61" s="309">
        <f t="shared" si="7"/>
        <v>0</v>
      </c>
      <c r="I61" s="310">
        <f t="shared" si="8"/>
        <v>0</v>
      </c>
      <c r="K61" s="145"/>
    </row>
    <row r="62" spans="1:15" ht="12" customHeight="1" x14ac:dyDescent="0.25">
      <c r="A62" s="260" t="s">
        <v>5</v>
      </c>
      <c r="B62" s="261">
        <v>7043</v>
      </c>
      <c r="C62" s="311" t="s">
        <v>71</v>
      </c>
      <c r="D62" s="263">
        <f>SUMIFS('NEBS Actuals Template'!F:F,'NEBS Actuals Template'!D:D,B62)</f>
        <v>0</v>
      </c>
      <c r="E62" s="307">
        <f t="shared" si="9"/>
        <v>0</v>
      </c>
      <c r="F62" s="304">
        <f t="shared" si="6"/>
        <v>0</v>
      </c>
      <c r="G62" s="308">
        <f t="shared" si="10"/>
        <v>0</v>
      </c>
      <c r="H62" s="309">
        <f t="shared" si="7"/>
        <v>0</v>
      </c>
      <c r="I62" s="310">
        <f t="shared" si="8"/>
        <v>0</v>
      </c>
      <c r="K62" s="145"/>
    </row>
    <row r="63" spans="1:15" ht="12" customHeight="1" x14ac:dyDescent="0.25">
      <c r="A63" s="260" t="s">
        <v>5</v>
      </c>
      <c r="B63" s="261">
        <v>7044</v>
      </c>
      <c r="C63" s="311" t="s">
        <v>73</v>
      </c>
      <c r="D63" s="263">
        <f>SUMIFS('NEBS Actuals Template'!F:F,'NEBS Actuals Template'!D:D,B63)</f>
        <v>0</v>
      </c>
      <c r="E63" s="307">
        <f t="shared" si="9"/>
        <v>0</v>
      </c>
      <c r="F63" s="304">
        <f t="shared" si="6"/>
        <v>0</v>
      </c>
      <c r="G63" s="308">
        <f t="shared" si="10"/>
        <v>0</v>
      </c>
      <c r="H63" s="309">
        <f t="shared" si="7"/>
        <v>0</v>
      </c>
      <c r="I63" s="310">
        <f t="shared" si="8"/>
        <v>0</v>
      </c>
      <c r="K63" s="145"/>
    </row>
    <row r="64" spans="1:15" ht="12" customHeight="1" x14ac:dyDescent="0.25">
      <c r="A64" s="260" t="s">
        <v>5</v>
      </c>
      <c r="B64" s="261">
        <v>7045</v>
      </c>
      <c r="C64" s="311" t="s">
        <v>58</v>
      </c>
      <c r="D64" s="263">
        <f>SUMIFS('NEBS Actuals Template'!F:F,'NEBS Actuals Template'!D:D,B64)</f>
        <v>0</v>
      </c>
      <c r="E64" s="307">
        <f t="shared" si="9"/>
        <v>0</v>
      </c>
      <c r="F64" s="304">
        <f t="shared" si="6"/>
        <v>0</v>
      </c>
      <c r="G64" s="308">
        <f t="shared" si="10"/>
        <v>0</v>
      </c>
      <c r="H64" s="309">
        <f t="shared" si="7"/>
        <v>0</v>
      </c>
      <c r="I64" s="310">
        <f t="shared" si="8"/>
        <v>0</v>
      </c>
      <c r="K64" s="145"/>
    </row>
    <row r="65" spans="1:11" ht="12" customHeight="1" x14ac:dyDescent="0.25">
      <c r="A65" s="260" t="s">
        <v>5</v>
      </c>
      <c r="B65" s="261">
        <v>7285</v>
      </c>
      <c r="C65" s="311" t="s">
        <v>59</v>
      </c>
      <c r="D65" s="263">
        <f>SUMIFS('NEBS Actuals Template'!F:F,'NEBS Actuals Template'!D:D,B65)</f>
        <v>0</v>
      </c>
      <c r="E65" s="307">
        <f t="shared" si="9"/>
        <v>0</v>
      </c>
      <c r="F65" s="304">
        <f t="shared" si="6"/>
        <v>0</v>
      </c>
      <c r="G65" s="308">
        <f t="shared" si="10"/>
        <v>0</v>
      </c>
      <c r="H65" s="309">
        <f t="shared" si="7"/>
        <v>0</v>
      </c>
      <c r="I65" s="310">
        <f t="shared" si="8"/>
        <v>0</v>
      </c>
      <c r="K65" s="145"/>
    </row>
    <row r="66" spans="1:11" ht="12" customHeight="1" x14ac:dyDescent="0.25">
      <c r="A66" s="260" t="s">
        <v>5</v>
      </c>
      <c r="B66" s="261">
        <v>7289</v>
      </c>
      <c r="C66" s="311" t="s">
        <v>481</v>
      </c>
      <c r="D66" s="263">
        <f>SUMIFS('NEBS Actuals Template'!F:F,'NEBS Actuals Template'!D:D,B66)</f>
        <v>0</v>
      </c>
      <c r="E66" s="307">
        <f>IF(D66&gt;0.01,D66/12,0)</f>
        <v>0</v>
      </c>
      <c r="F66" s="304">
        <f t="shared" si="6"/>
        <v>0</v>
      </c>
      <c r="G66" s="392">
        <f>'Dates-Rates'!D30</f>
        <v>10.39</v>
      </c>
      <c r="H66" s="309">
        <f t="shared" si="7"/>
        <v>0</v>
      </c>
      <c r="I66" s="310">
        <f t="shared" si="8"/>
        <v>0</v>
      </c>
      <c r="K66" s="145"/>
    </row>
    <row r="67" spans="1:11" ht="12" customHeight="1" x14ac:dyDescent="0.25">
      <c r="A67" s="260" t="s">
        <v>5</v>
      </c>
      <c r="B67" s="261">
        <v>7290</v>
      </c>
      <c r="C67" s="311" t="s">
        <v>60</v>
      </c>
      <c r="D67" s="263">
        <f>SUMIFS('NEBS Actuals Template'!F:F,'NEBS Actuals Template'!D:D,B67)</f>
        <v>0</v>
      </c>
      <c r="E67" s="307">
        <f t="shared" si="9"/>
        <v>0</v>
      </c>
      <c r="F67" s="304">
        <f t="shared" si="6"/>
        <v>0</v>
      </c>
      <c r="G67" s="308">
        <f t="shared" si="10"/>
        <v>0</v>
      </c>
      <c r="H67" s="309">
        <f t="shared" si="7"/>
        <v>0</v>
      </c>
      <c r="I67" s="310">
        <f t="shared" si="8"/>
        <v>0</v>
      </c>
      <c r="K67" s="145"/>
    </row>
    <row r="68" spans="1:11" ht="12" customHeight="1" x14ac:dyDescent="0.25">
      <c r="A68" s="260" t="s">
        <v>5</v>
      </c>
      <c r="B68" s="261">
        <v>7291</v>
      </c>
      <c r="C68" s="311" t="s">
        <v>61</v>
      </c>
      <c r="D68" s="263">
        <f>SUMIFS('NEBS Actuals Template'!F:F,'NEBS Actuals Template'!D:D,B68)</f>
        <v>0</v>
      </c>
      <c r="E68" s="307">
        <f t="shared" si="9"/>
        <v>0</v>
      </c>
      <c r="F68" s="304">
        <f t="shared" si="6"/>
        <v>0</v>
      </c>
      <c r="G68" s="308">
        <f>IF(D68&gt;0.01,E68/F68,0)</f>
        <v>0</v>
      </c>
      <c r="H68" s="309">
        <f t="shared" si="7"/>
        <v>0</v>
      </c>
      <c r="I68" s="310">
        <f t="shared" si="8"/>
        <v>0</v>
      </c>
      <c r="K68" s="145"/>
    </row>
    <row r="69" spans="1:11" ht="12" customHeight="1" x14ac:dyDescent="0.25">
      <c r="A69" s="483" t="s">
        <v>5</v>
      </c>
      <c r="B69" s="261">
        <v>7292</v>
      </c>
      <c r="C69" s="311" t="s">
        <v>62</v>
      </c>
      <c r="D69" s="263">
        <f>SUMIFS('NEBS Actuals Template'!F:F,'NEBS Actuals Template'!D:D,B69)</f>
        <v>0</v>
      </c>
      <c r="E69" s="307">
        <f t="shared" si="9"/>
        <v>0</v>
      </c>
      <c r="F69" s="304">
        <f t="shared" si="6"/>
        <v>0</v>
      </c>
      <c r="G69" s="308">
        <f t="shared" si="10"/>
        <v>0</v>
      </c>
      <c r="H69" s="309">
        <f t="shared" si="7"/>
        <v>0</v>
      </c>
      <c r="I69" s="310">
        <f t="shared" si="8"/>
        <v>0</v>
      </c>
      <c r="K69" s="145"/>
    </row>
    <row r="70" spans="1:11" ht="12" customHeight="1" x14ac:dyDescent="0.25">
      <c r="A70" s="260" t="s">
        <v>5</v>
      </c>
      <c r="B70" s="261">
        <v>7296</v>
      </c>
      <c r="C70" s="311" t="s">
        <v>75</v>
      </c>
      <c r="D70" s="263">
        <f>SUMIFS('NEBS Actuals Template'!F:F,'NEBS Actuals Template'!D:D,B70)</f>
        <v>0</v>
      </c>
      <c r="E70" s="307">
        <f t="shared" si="9"/>
        <v>0</v>
      </c>
      <c r="F70" s="304">
        <f>$B$9</f>
        <v>0</v>
      </c>
      <c r="G70" s="308">
        <f>IF(D70&gt;0.01,E70/F70,0)</f>
        <v>0</v>
      </c>
      <c r="H70" s="309">
        <f t="shared" si="7"/>
        <v>0</v>
      </c>
      <c r="I70" s="310">
        <f t="shared" si="8"/>
        <v>0</v>
      </c>
      <c r="K70" s="145"/>
    </row>
    <row r="71" spans="1:11" ht="12" customHeight="1" x14ac:dyDescent="0.25">
      <c r="A71" s="260" t="s">
        <v>5</v>
      </c>
      <c r="B71" s="261">
        <v>7980</v>
      </c>
      <c r="C71" s="311" t="s">
        <v>421</v>
      </c>
      <c r="D71" s="263">
        <f>SUMIFS('NEBS Actuals Template'!F:F,'NEBS Actuals Template'!D:D,B71)</f>
        <v>0</v>
      </c>
      <c r="E71" s="307">
        <f t="shared" si="9"/>
        <v>0</v>
      </c>
      <c r="F71" s="304">
        <f>$B$9</f>
        <v>0</v>
      </c>
      <c r="G71" s="308">
        <f t="shared" ref="G71" si="11">IF(D71&gt;0.01,E71/F71,0)</f>
        <v>0</v>
      </c>
      <c r="H71" s="309">
        <f t="shared" si="7"/>
        <v>0</v>
      </c>
      <c r="I71" s="310">
        <f t="shared" si="8"/>
        <v>0</v>
      </c>
      <c r="K71" s="145"/>
    </row>
    <row r="72" spans="1:11" ht="12" customHeight="1" x14ac:dyDescent="0.25">
      <c r="A72" s="312" t="s">
        <v>299</v>
      </c>
      <c r="B72" s="313"/>
      <c r="C72" s="313"/>
      <c r="D72" s="231"/>
      <c r="E72" s="231"/>
      <c r="F72" s="231"/>
      <c r="G72" s="293"/>
      <c r="H72" s="314">
        <f>SUM(H53:H71)</f>
        <v>0</v>
      </c>
      <c r="I72" s="284">
        <f>SUM(I53:I71)</f>
        <v>0</v>
      </c>
      <c r="K72" s="145"/>
    </row>
    <row r="73" spans="1:11" ht="12" customHeight="1" x14ac:dyDescent="0.25">
      <c r="A73" s="182"/>
      <c r="B73" s="182"/>
      <c r="C73" s="182"/>
      <c r="D73" s="182"/>
      <c r="E73" s="182"/>
      <c r="F73" s="182"/>
      <c r="G73" s="182"/>
      <c r="H73" s="182"/>
      <c r="I73" s="182"/>
      <c r="J73" s="183"/>
      <c r="K73" s="145"/>
    </row>
    <row r="74" spans="1:11" ht="12.75" customHeight="1" x14ac:dyDescent="0.25">
      <c r="A74" s="315" t="s">
        <v>292</v>
      </c>
      <c r="B74" s="286"/>
      <c r="C74" s="286"/>
      <c r="D74" s="316"/>
      <c r="E74" s="523" t="str">
        <f>E8</f>
        <v>SFY 2020</v>
      </c>
      <c r="F74" s="527"/>
      <c r="G74" s="524"/>
      <c r="H74" s="525" t="str">
        <f>F8</f>
        <v>SFY 2021</v>
      </c>
      <c r="I74" s="528"/>
      <c r="J74" s="526"/>
      <c r="K74" s="145"/>
    </row>
    <row r="75" spans="1:11" ht="71.25" customHeight="1" x14ac:dyDescent="0.25">
      <c r="A75" s="317"/>
      <c r="B75" s="318"/>
      <c r="C75" s="318"/>
      <c r="D75" s="247" t="s">
        <v>20</v>
      </c>
      <c r="E75" s="247" t="s">
        <v>43</v>
      </c>
      <c r="F75" s="292" t="s">
        <v>252</v>
      </c>
      <c r="G75" s="248" t="s">
        <v>281</v>
      </c>
      <c r="H75" s="247" t="s">
        <v>43</v>
      </c>
      <c r="I75" s="292" t="s">
        <v>252</v>
      </c>
      <c r="J75" s="249" t="s">
        <v>281</v>
      </c>
      <c r="K75" s="145"/>
    </row>
    <row r="76" spans="1:11" ht="12" customHeight="1" x14ac:dyDescent="0.25">
      <c r="A76" s="241" t="s">
        <v>316</v>
      </c>
      <c r="B76" s="241" t="s">
        <v>315</v>
      </c>
      <c r="C76" s="456" t="s">
        <v>2</v>
      </c>
      <c r="D76" s="231"/>
      <c r="E76" s="231"/>
      <c r="F76" s="231"/>
      <c r="G76" s="231"/>
      <c r="H76" s="231"/>
      <c r="I76" s="231"/>
      <c r="J76" s="320"/>
      <c r="K76" s="145"/>
    </row>
    <row r="77" spans="1:11" x14ac:dyDescent="0.25">
      <c r="A77" s="299" t="s">
        <v>5</v>
      </c>
      <c r="B77" s="300">
        <v>7110</v>
      </c>
      <c r="C77" s="400" t="s">
        <v>88</v>
      </c>
      <c r="D77" s="323">
        <v>90</v>
      </c>
      <c r="E77" s="324">
        <f>((SUMIFS($F$20:$F$35,$H$20:$H$35,C77,$G$20:$G$35,"&lt;&gt;0")*D77))</f>
        <v>0</v>
      </c>
      <c r="F77" s="184">
        <v>1.33</v>
      </c>
      <c r="G77" s="296">
        <f>((SUMIFS($K$20:$K$35,$H$20:$H$35,C77,$G$20:$G$35,"&lt;&gt;0")*D77)*F77)</f>
        <v>0</v>
      </c>
      <c r="H77" s="324">
        <f>((SUMIFS($F$20:$F$35,$H$20:$H$35,C77,$G$20:$G$35,"&gt;0")*D77))</f>
        <v>0</v>
      </c>
      <c r="I77" s="184">
        <v>1.44</v>
      </c>
      <c r="J77" s="297">
        <f>((SUMIFS($L$20:$L$35,$H$20:$H$35,C77,$G$20:$G$35,"&gt;0")*D77)*I77)</f>
        <v>0</v>
      </c>
      <c r="K77" s="145"/>
    </row>
    <row r="78" spans="1:11" ht="13.2" customHeight="1" x14ac:dyDescent="0.25">
      <c r="A78" s="299" t="s">
        <v>5</v>
      </c>
      <c r="B78" s="300">
        <v>7110</v>
      </c>
      <c r="C78" s="400" t="s">
        <v>82</v>
      </c>
      <c r="D78" s="323">
        <v>100</v>
      </c>
      <c r="E78" s="324">
        <f>((SUMIFS($F$20:$F$35,$H$20:$H$35,C78,$G$20:$G$35,"&lt;&gt;0")*D78))</f>
        <v>0</v>
      </c>
      <c r="F78" s="185">
        <v>1.33</v>
      </c>
      <c r="G78" s="309">
        <f>((SUMIFS($K$20:$K$35,$H$20:$H$35,C78,$G$20:$G$35,"&lt;&gt;0")*D78)*F78)</f>
        <v>0</v>
      </c>
      <c r="H78" s="324">
        <f>((SUMIFS($F$20:$F$35,$H$20:$H$35,C78,$G$20:$G$35,"&gt;0")*D78))</f>
        <v>0</v>
      </c>
      <c r="I78" s="184">
        <v>1.44</v>
      </c>
      <c r="J78" s="310">
        <f>((SUMIFS($L$20:$L$35,$H$20:$H$35,C78,$G$20:$G$35,"&gt;0")*D78)*I78)</f>
        <v>0</v>
      </c>
      <c r="K78" s="145"/>
    </row>
    <row r="79" spans="1:11" ht="13.2" customHeight="1" x14ac:dyDescent="0.25">
      <c r="A79" s="299" t="s">
        <v>5</v>
      </c>
      <c r="B79" s="300">
        <v>7110</v>
      </c>
      <c r="C79" s="400" t="s">
        <v>87</v>
      </c>
      <c r="D79" s="323">
        <v>130</v>
      </c>
      <c r="E79" s="324">
        <f>((SUMIFS($F$20:$F$35,$H$20:$H$35,C79,$G$20:$G$35,"&lt;&gt;0")*D79))</f>
        <v>0</v>
      </c>
      <c r="F79" s="185">
        <v>1.33</v>
      </c>
      <c r="G79" s="309">
        <f>((SUMIFS($K$20:$K$35,$H$20:$H$35,C79,$G$20:$G$35,"&lt;&gt;0")*D79)*F79)</f>
        <v>0</v>
      </c>
      <c r="H79" s="324">
        <f>((SUMIFS($F$20:$F$35,$H$20:$H$35,C79,$G$20:$G$35,"&gt;0")*D79))</f>
        <v>0</v>
      </c>
      <c r="I79" s="184">
        <v>1.44</v>
      </c>
      <c r="J79" s="310">
        <f>((SUMIFS($L$20:$L$35,$H$20:$H$35,C79,$G$20:$G$35,"&gt;0")*D79)*I79)</f>
        <v>0</v>
      </c>
      <c r="K79" s="145"/>
    </row>
    <row r="80" spans="1:11" ht="13.2" customHeight="1" x14ac:dyDescent="0.25">
      <c r="A80" s="299" t="s">
        <v>5</v>
      </c>
      <c r="B80" s="300">
        <v>7110</v>
      </c>
      <c r="C80" s="400" t="s">
        <v>89</v>
      </c>
      <c r="D80" s="323">
        <v>170</v>
      </c>
      <c r="E80" s="324">
        <f>((SUMIFS($F$20:$F$35,$H$20:$H$35,C80,$G$20:$G$35,"&lt;&gt;0")*D80))</f>
        <v>0</v>
      </c>
      <c r="F80" s="185">
        <v>1.33</v>
      </c>
      <c r="G80" s="309">
        <f>((SUMIFS($K$20:$K$35,$H$20:$H$35,C80,$G$20:$G$35,"&lt;&gt;0")*D80)*F80)</f>
        <v>0</v>
      </c>
      <c r="H80" s="324">
        <f>((SUMIFS($F$20:$F$35,$H$20:$H$35,C80,$G$20:$G$35,"&gt;0")*D80))</f>
        <v>0</v>
      </c>
      <c r="I80" s="184">
        <v>1.44</v>
      </c>
      <c r="J80" s="310">
        <f>((SUMIFS($L$20:$L$35,$H$20:$H$35,C80,$G$20:$G$35,"&gt;0")*D80)*I80)</f>
        <v>0</v>
      </c>
      <c r="K80" s="145"/>
    </row>
    <row r="81" spans="1:13" ht="12.6" customHeight="1" x14ac:dyDescent="0.25">
      <c r="A81" s="299" t="s">
        <v>5</v>
      </c>
      <c r="B81" s="300">
        <v>7110</v>
      </c>
      <c r="C81" s="461" t="s">
        <v>63</v>
      </c>
      <c r="D81" s="323">
        <v>20</v>
      </c>
      <c r="E81" s="324">
        <f>SUMIF(G20:G35,"&lt;&gt;0",F20:F35)*D81</f>
        <v>0</v>
      </c>
      <c r="F81" s="185">
        <v>1.33</v>
      </c>
      <c r="G81" s="309">
        <f>(D81*K37)*F81</f>
        <v>0</v>
      </c>
      <c r="H81" s="324">
        <f>SUMIF(G20:G35,"&gt;0",F20:F35)*D81</f>
        <v>0</v>
      </c>
      <c r="I81" s="184">
        <v>1.44</v>
      </c>
      <c r="J81" s="310">
        <f>(D81*L37)*I81</f>
        <v>0</v>
      </c>
      <c r="K81" s="145"/>
    </row>
    <row r="82" spans="1:13" ht="12.6" customHeight="1" x14ac:dyDescent="0.25">
      <c r="A82" s="326" t="s">
        <v>21</v>
      </c>
      <c r="B82" s="327"/>
      <c r="C82" s="459"/>
      <c r="D82" s="231"/>
      <c r="E82" s="231"/>
      <c r="F82" s="231"/>
      <c r="G82" s="282">
        <f>SUM(G77:G81)</f>
        <v>0</v>
      </c>
      <c r="H82" s="231"/>
      <c r="I82" s="231"/>
      <c r="J82" s="284">
        <f>SUM(J77:J81)</f>
        <v>0</v>
      </c>
      <c r="K82" s="145"/>
    </row>
    <row r="83" spans="1:13" ht="12.6" customHeight="1" x14ac:dyDescent="0.25">
      <c r="A83" s="299"/>
      <c r="B83" s="300"/>
      <c r="C83" s="560"/>
      <c r="D83" s="561"/>
      <c r="E83" s="324"/>
      <c r="F83" s="184"/>
      <c r="G83" s="296"/>
      <c r="H83" s="324"/>
      <c r="I83" s="184"/>
      <c r="J83" s="297"/>
      <c r="K83" s="145"/>
    </row>
    <row r="84" spans="1:13" ht="12" customHeight="1" x14ac:dyDescent="0.25">
      <c r="A84" s="312" t="s">
        <v>300</v>
      </c>
      <c r="B84" s="313"/>
      <c r="C84" s="313"/>
      <c r="D84" s="313"/>
      <c r="E84" s="329">
        <f>SUM(E77:E83)</f>
        <v>0</v>
      </c>
      <c r="F84" s="231"/>
      <c r="G84" s="282">
        <f>SUM(G82:G83)</f>
        <v>0</v>
      </c>
      <c r="H84" s="329">
        <f>SUM(H77:H83)</f>
        <v>0</v>
      </c>
      <c r="I84" s="168"/>
      <c r="J84" s="284">
        <f>SUM(J82:J83)</f>
        <v>0</v>
      </c>
      <c r="K84" s="145"/>
    </row>
    <row r="85" spans="1:13" ht="12" customHeight="1" x14ac:dyDescent="0.25">
      <c r="A85" s="182"/>
      <c r="B85" s="182"/>
      <c r="C85" s="182"/>
      <c r="D85" s="182"/>
      <c r="E85" s="182"/>
      <c r="F85" s="182"/>
      <c r="G85" s="182"/>
      <c r="H85" s="186"/>
      <c r="I85" s="187"/>
      <c r="J85" s="188"/>
      <c r="K85" s="189"/>
      <c r="L85" s="183"/>
      <c r="M85" s="173"/>
    </row>
    <row r="86" spans="1:13" ht="12" customHeight="1" x14ac:dyDescent="0.25">
      <c r="A86" s="182"/>
      <c r="B86" s="182"/>
      <c r="C86" s="182"/>
      <c r="D86" s="182"/>
      <c r="E86" s="182"/>
      <c r="F86" s="182"/>
      <c r="G86" s="182"/>
      <c r="H86" s="186"/>
      <c r="I86" s="187"/>
      <c r="J86" s="188"/>
      <c r="K86" s="189"/>
      <c r="L86" s="183"/>
      <c r="M86" s="173"/>
    </row>
    <row r="87" spans="1:13" ht="12.75" customHeight="1" x14ac:dyDescent="0.25">
      <c r="A87" s="315" t="s">
        <v>372</v>
      </c>
      <c r="B87" s="286"/>
      <c r="C87" s="330"/>
      <c r="D87" s="286"/>
      <c r="E87" s="393"/>
      <c r="F87" s="286"/>
      <c r="G87" s="457"/>
      <c r="H87" s="210" t="str">
        <f>E8</f>
        <v>SFY 2020</v>
      </c>
      <c r="I87" s="209" t="str">
        <f>F8</f>
        <v>SFY 2021</v>
      </c>
      <c r="J87" s="153"/>
      <c r="K87" s="145"/>
    </row>
    <row r="88" spans="1:13" ht="69.75" customHeight="1" x14ac:dyDescent="0.25">
      <c r="A88" s="331"/>
      <c r="B88" s="318"/>
      <c r="C88" s="318"/>
      <c r="D88" s="318"/>
      <c r="E88" s="247" t="s">
        <v>274</v>
      </c>
      <c r="F88" s="247" t="s">
        <v>263</v>
      </c>
      <c r="G88" s="247" t="s">
        <v>264</v>
      </c>
      <c r="H88" s="248" t="s">
        <v>22</v>
      </c>
      <c r="I88" s="249" t="s">
        <v>22</v>
      </c>
      <c r="K88" s="145"/>
    </row>
    <row r="89" spans="1:13" ht="12" customHeight="1" x14ac:dyDescent="0.25">
      <c r="A89" s="241" t="s">
        <v>316</v>
      </c>
      <c r="B89" s="490" t="s">
        <v>2</v>
      </c>
      <c r="C89" s="491"/>
      <c r="D89" s="457"/>
      <c r="E89" s="231"/>
      <c r="F89" s="231"/>
      <c r="G89" s="231"/>
      <c r="H89" s="293"/>
      <c r="I89" s="294"/>
      <c r="K89" s="145"/>
    </row>
    <row r="90" spans="1:13" ht="21" customHeight="1" x14ac:dyDescent="0.25">
      <c r="A90" s="401" t="s">
        <v>5</v>
      </c>
      <c r="B90" s="564" t="s">
        <v>380</v>
      </c>
      <c r="C90" s="565"/>
      <c r="D90" s="566"/>
      <c r="E90" s="394" t="str">
        <f>'Dates-Rates'!E33</f>
        <v xml:space="preserve">provide quote </v>
      </c>
      <c r="F90" s="323">
        <f>SUMIFS($F$20:$F$35,$G$20:$G$35,"&lt;"&amp;'Dates-Rates'!B5,$H$20:$H$35,"&lt;&gt;Division Head/Deputy/Chief")</f>
        <v>0</v>
      </c>
      <c r="G90" s="323">
        <f>SUMIFS($F$20:$F$35,$G$20:$G$35,"&gt;="&amp;'Dates-Rates'!B5,$H$20:$H$35,"&lt;&gt;Division Head/Deputy/Chief")</f>
        <v>0</v>
      </c>
      <c r="H90" s="334" t="e">
        <f>$E$90*F90</f>
        <v>#VALUE!</v>
      </c>
      <c r="I90" s="335" t="e">
        <f>$E$90*G90</f>
        <v>#VALUE!</v>
      </c>
      <c r="K90" s="145"/>
    </row>
    <row r="91" spans="1:13" ht="38.25" customHeight="1" x14ac:dyDescent="0.25">
      <c r="A91" s="299" t="s">
        <v>28</v>
      </c>
      <c r="B91" s="571" t="s">
        <v>379</v>
      </c>
      <c r="C91" s="572"/>
      <c r="D91" s="573"/>
      <c r="E91" s="395">
        <f>'Dates-Rates'!E34</f>
        <v>2383</v>
      </c>
      <c r="F91" s="323">
        <f>SUMIFS($F$20:$F$35,$G$20:$G$35,"&lt;"&amp;'Dates-Rates'!B6,$H$20:$H$35,"&lt;&gt;Division Head/Deputy/Chief")</f>
        <v>0</v>
      </c>
      <c r="G91" s="323">
        <f>SUMIFS($F$20:$F$35,$G$20:$G$35,"&gt;="&amp;'Dates-Rates'!B6,$H$20:$H$35,"&lt;&gt;Division Head/Deputy/Chief")</f>
        <v>0</v>
      </c>
      <c r="H91" s="368">
        <f>$E$91*F91</f>
        <v>0</v>
      </c>
      <c r="I91" s="216">
        <f>$E$91*G91</f>
        <v>0</v>
      </c>
      <c r="K91" s="145"/>
    </row>
    <row r="92" spans="1:13" ht="39.6" customHeight="1" x14ac:dyDescent="0.25">
      <c r="A92" s="299" t="s">
        <v>28</v>
      </c>
      <c r="B92" s="574" t="s">
        <v>381</v>
      </c>
      <c r="C92" s="575"/>
      <c r="D92" s="576"/>
      <c r="E92" s="396">
        <f>'Dates-Rates'!E35</f>
        <v>3745</v>
      </c>
      <c r="F92" s="323">
        <f>SUMIFS($F$20:$F$35,$G$20:$G$35,"&lt;"&amp;'Dates-Rates'!B6,$H$20:$H$35,$C$80)</f>
        <v>0</v>
      </c>
      <c r="G92" s="323">
        <f>SUMIFS($F$20:$F$35,$G$20:$G$35,"&gt;="&amp;'Dates-Rates'!B6,$H$20:$H$35,$C$80)</f>
        <v>0</v>
      </c>
      <c r="H92" s="336">
        <f>$E$92*F92</f>
        <v>0</v>
      </c>
      <c r="I92" s="337">
        <f>$E$92*G92</f>
        <v>0</v>
      </c>
      <c r="K92" s="145"/>
    </row>
    <row r="93" spans="1:13" ht="12" customHeight="1" x14ac:dyDescent="0.25">
      <c r="A93" s="312" t="s">
        <v>373</v>
      </c>
      <c r="B93" s="313"/>
      <c r="C93" s="313"/>
      <c r="D93" s="313"/>
      <c r="E93" s="231"/>
      <c r="F93" s="231"/>
      <c r="G93" s="231"/>
      <c r="H93" s="282">
        <f>SUM(H91:H92)</f>
        <v>0</v>
      </c>
      <c r="I93" s="333">
        <f>SUM(I91:I92)</f>
        <v>0</v>
      </c>
      <c r="K93" s="145"/>
    </row>
    <row r="94" spans="1:13" ht="12" customHeight="1" x14ac:dyDescent="0.25">
      <c r="A94" s="182"/>
      <c r="B94" s="182"/>
      <c r="C94" s="182"/>
      <c r="D94" s="182"/>
      <c r="E94" s="182"/>
      <c r="F94" s="182"/>
      <c r="G94" s="182"/>
      <c r="H94" s="182"/>
      <c r="I94" s="182"/>
      <c r="J94" s="183"/>
      <c r="K94" s="145"/>
    </row>
    <row r="95" spans="1:13" ht="12" customHeight="1" x14ac:dyDescent="0.25">
      <c r="K95" s="145"/>
      <c r="L95" s="146"/>
    </row>
    <row r="96" spans="1:13" x14ac:dyDescent="0.25">
      <c r="A96" s="315" t="s">
        <v>294</v>
      </c>
      <c r="B96" s="286"/>
      <c r="C96" s="286"/>
      <c r="D96" s="286"/>
      <c r="E96" s="457"/>
      <c r="F96" s="241"/>
      <c r="G96" s="241"/>
      <c r="H96" s="210" t="str">
        <f>E8</f>
        <v>SFY 2020</v>
      </c>
      <c r="I96" s="209" t="str">
        <f>F8</f>
        <v>SFY 2021</v>
      </c>
      <c r="J96" s="153"/>
      <c r="K96" s="145"/>
    </row>
    <row r="97" spans="1:12" ht="45.75" customHeight="1" x14ac:dyDescent="0.25">
      <c r="A97" s="331" t="s">
        <v>259</v>
      </c>
      <c r="B97" s="318"/>
      <c r="C97" s="318"/>
      <c r="D97" s="247" t="s">
        <v>261</v>
      </c>
      <c r="E97" s="241" t="s">
        <v>262</v>
      </c>
      <c r="F97" s="247" t="s">
        <v>263</v>
      </c>
      <c r="G97" s="247" t="s">
        <v>264</v>
      </c>
      <c r="H97" s="248" t="s">
        <v>22</v>
      </c>
      <c r="I97" s="249" t="s">
        <v>22</v>
      </c>
      <c r="K97" s="145"/>
    </row>
    <row r="98" spans="1:12" ht="12" customHeight="1" x14ac:dyDescent="0.25">
      <c r="A98" s="241" t="s">
        <v>316</v>
      </c>
      <c r="B98" s="241" t="s">
        <v>315</v>
      </c>
      <c r="C98" s="456" t="s">
        <v>2</v>
      </c>
      <c r="D98" s="231"/>
      <c r="E98" s="231"/>
      <c r="F98" s="293"/>
      <c r="G98" s="293"/>
      <c r="H98" s="293"/>
      <c r="I98" s="294"/>
      <c r="K98" s="145"/>
    </row>
    <row r="99" spans="1:12" ht="13.2" customHeight="1" x14ac:dyDescent="0.25">
      <c r="A99" s="250" t="s">
        <v>1</v>
      </c>
      <c r="B99" s="251">
        <v>7554</v>
      </c>
      <c r="C99" s="295" t="s">
        <v>272</v>
      </c>
      <c r="D99" s="253">
        <f>'Dates-Rates'!D23</f>
        <v>211.57</v>
      </c>
      <c r="E99" s="253">
        <f>'Dates-Rates'!E23</f>
        <v>211.57</v>
      </c>
      <c r="F99" s="324">
        <f>SUMIFS($F$20:$F$35,$G$20:$G$35,"&lt;"&amp;'Dates-Rates'!B6)</f>
        <v>0</v>
      </c>
      <c r="G99" s="324">
        <f>SUMIFS($F$20:$F$35,$G$20:$G$35,"&gt;="&amp;'Dates-Rates'!B6)+F99</f>
        <v>0</v>
      </c>
      <c r="H99" s="296">
        <f>$F99*$D99</f>
        <v>0</v>
      </c>
      <c r="I99" s="297">
        <f>$G99*$E99</f>
        <v>0</v>
      </c>
      <c r="K99" s="145"/>
    </row>
    <row r="100" spans="1:12" ht="13.2" customHeight="1" x14ac:dyDescent="0.25">
      <c r="A100" s="260" t="s">
        <v>1</v>
      </c>
      <c r="B100" s="261">
        <v>7556</v>
      </c>
      <c r="C100" s="298" t="s">
        <v>273</v>
      </c>
      <c r="D100" s="263">
        <f>'Dates-Rates'!D24</f>
        <v>128.66</v>
      </c>
      <c r="E100" s="263">
        <f>'Dates-Rates'!E24</f>
        <v>128.66</v>
      </c>
      <c r="F100" s="324">
        <f>SUMIFS($F$20:$F$35,$G$20:$G$35,"&lt;"&amp;'Dates-Rates'!B6)</f>
        <v>0</v>
      </c>
      <c r="G100" s="324">
        <f>SUMIFS($F$20:$F$35,$G$20:$G$35,"&gt;="&amp;'Dates-Rates'!B6)+F100</f>
        <v>0</v>
      </c>
      <c r="H100" s="296">
        <f>$F100*$D100</f>
        <v>0</v>
      </c>
      <c r="I100" s="297">
        <f>$G100*$E100</f>
        <v>0</v>
      </c>
      <c r="K100" s="145"/>
    </row>
    <row r="101" spans="1:12" ht="45.75" customHeight="1" x14ac:dyDescent="0.25">
      <c r="A101" s="331" t="s">
        <v>342</v>
      </c>
      <c r="B101" s="318"/>
      <c r="C101" s="318"/>
      <c r="D101" s="247" t="s">
        <v>332</v>
      </c>
      <c r="E101" s="241" t="s">
        <v>333</v>
      </c>
      <c r="F101" s="247" t="s">
        <v>335</v>
      </c>
      <c r="G101" s="247" t="s">
        <v>335</v>
      </c>
      <c r="H101" s="248" t="s">
        <v>22</v>
      </c>
      <c r="I101" s="249" t="s">
        <v>22</v>
      </c>
      <c r="K101" s="145"/>
    </row>
    <row r="102" spans="1:12" ht="12" customHeight="1" x14ac:dyDescent="0.25">
      <c r="A102" s="241" t="s">
        <v>316</v>
      </c>
      <c r="B102" s="241" t="s">
        <v>315</v>
      </c>
      <c r="C102" s="456" t="s">
        <v>2</v>
      </c>
      <c r="D102" s="231"/>
      <c r="E102" s="231"/>
      <c r="F102" s="293"/>
      <c r="G102" s="293"/>
      <c r="H102" s="293"/>
      <c r="I102" s="294"/>
      <c r="K102" s="145"/>
    </row>
    <row r="103" spans="1:12" ht="13.2" customHeight="1" x14ac:dyDescent="0.25">
      <c r="A103" s="260" t="s">
        <v>1</v>
      </c>
      <c r="B103" s="261">
        <v>7533</v>
      </c>
      <c r="C103" s="311" t="s">
        <v>65</v>
      </c>
      <c r="D103" s="397">
        <f>'Dates-Rates'!D27</f>
        <v>14.53</v>
      </c>
      <c r="E103" s="397">
        <f>'Dates-Rates'!E27</f>
        <v>14.53</v>
      </c>
      <c r="F103" s="324">
        <f>K$37</f>
        <v>0</v>
      </c>
      <c r="G103" s="324">
        <f>L$37</f>
        <v>0</v>
      </c>
      <c r="H103" s="296">
        <f>$F103*$D103</f>
        <v>0</v>
      </c>
      <c r="I103" s="297">
        <f>$G103*$E103</f>
        <v>0</v>
      </c>
      <c r="K103" s="145"/>
    </row>
    <row r="104" spans="1:12" ht="13.2" customHeight="1" x14ac:dyDescent="0.25">
      <c r="A104" s="469"/>
      <c r="B104" s="470"/>
      <c r="C104" s="471"/>
      <c r="D104" s="472"/>
      <c r="E104" s="472"/>
      <c r="F104" s="473"/>
      <c r="G104" s="473"/>
      <c r="H104" s="474"/>
      <c r="I104" s="474"/>
      <c r="J104" s="173"/>
      <c r="K104" s="145"/>
    </row>
    <row r="105" spans="1:12" ht="52.8" x14ac:dyDescent="0.25">
      <c r="A105" s="331" t="s">
        <v>17</v>
      </c>
      <c r="B105" s="318"/>
      <c r="C105" s="318"/>
      <c r="D105" s="247" t="s">
        <v>260</v>
      </c>
      <c r="E105" s="241" t="s">
        <v>84</v>
      </c>
      <c r="F105" s="247" t="s">
        <v>275</v>
      </c>
      <c r="G105" s="247" t="s">
        <v>16</v>
      </c>
      <c r="H105" s="248" t="s">
        <v>22</v>
      </c>
      <c r="I105" s="249" t="s">
        <v>22</v>
      </c>
      <c r="K105" s="145"/>
    </row>
    <row r="106" spans="1:12" ht="12" customHeight="1" x14ac:dyDescent="0.25">
      <c r="A106" s="241" t="s">
        <v>316</v>
      </c>
      <c r="B106" s="241" t="s">
        <v>315</v>
      </c>
      <c r="C106" s="456" t="s">
        <v>2</v>
      </c>
      <c r="D106" s="231"/>
      <c r="E106" s="293"/>
      <c r="F106" s="293"/>
      <c r="G106" s="293"/>
      <c r="H106" s="293"/>
      <c r="I106" s="294"/>
      <c r="K106" s="145"/>
    </row>
    <row r="107" spans="1:12" ht="12" customHeight="1" x14ac:dyDescent="0.25">
      <c r="A107" s="250" t="s">
        <v>1</v>
      </c>
      <c r="B107" s="251">
        <v>7222</v>
      </c>
      <c r="C107" s="460" t="s">
        <v>64</v>
      </c>
      <c r="D107" s="253">
        <f>SUMIFS('NEBS Actuals Template'!F:F,'NEBS Actuals Template'!D:D,B107)</f>
        <v>0</v>
      </c>
      <c r="E107" s="253">
        <f>IF(D107&lt;&gt;0,D107/12,0)</f>
        <v>0</v>
      </c>
      <c r="F107" s="348">
        <f>$B$9</f>
        <v>0</v>
      </c>
      <c r="G107" s="253">
        <f>IF(D107&gt;0.01,E107/F107,0)</f>
        <v>0</v>
      </c>
      <c r="H107" s="257">
        <f>G107*K37</f>
        <v>0</v>
      </c>
      <c r="I107" s="259" t="str">
        <f>IF($L$37&gt;0,G107*$L$37,"")</f>
        <v/>
      </c>
      <c r="K107" s="145"/>
    </row>
    <row r="108" spans="1:12" ht="12" customHeight="1" x14ac:dyDescent="0.25">
      <c r="A108" s="345" t="s">
        <v>301</v>
      </c>
      <c r="B108" s="346"/>
      <c r="C108" s="346"/>
      <c r="D108" s="231"/>
      <c r="E108" s="293"/>
      <c r="F108" s="293"/>
      <c r="G108" s="294"/>
      <c r="H108" s="349">
        <f>SUM(H99:H107)</f>
        <v>0</v>
      </c>
      <c r="I108" s="350">
        <f>SUM(I99:I107)</f>
        <v>0</v>
      </c>
      <c r="K108" s="145"/>
    </row>
    <row r="109" spans="1:12" ht="12" customHeight="1" x14ac:dyDescent="0.25">
      <c r="A109" s="347"/>
      <c r="B109" s="347"/>
      <c r="C109" s="347"/>
      <c r="D109" s="347"/>
      <c r="E109" s="347"/>
      <c r="F109" s="347"/>
      <c r="G109" s="347"/>
      <c r="H109" s="352"/>
      <c r="I109" s="352"/>
      <c r="K109" s="145"/>
    </row>
    <row r="110" spans="1:12" ht="12.75" customHeight="1" x14ac:dyDescent="0.25">
      <c r="A110" s="315" t="s">
        <v>303</v>
      </c>
      <c r="B110" s="286"/>
      <c r="C110" s="330"/>
      <c r="D110" s="330"/>
      <c r="E110" s="351"/>
      <c r="F110" s="351"/>
      <c r="G110" s="351"/>
      <c r="H110" s="210" t="str">
        <f>E8</f>
        <v>SFY 2020</v>
      </c>
      <c r="I110" s="209" t="str">
        <f>F8</f>
        <v>SFY 2021</v>
      </c>
      <c r="K110" s="153"/>
      <c r="L110" s="153"/>
    </row>
    <row r="111" spans="1:12" ht="66" x14ac:dyDescent="0.25">
      <c r="A111" s="331" t="s">
        <v>302</v>
      </c>
      <c r="B111" s="318"/>
      <c r="C111" s="318"/>
      <c r="D111" s="357"/>
      <c r="E111" s="247" t="s">
        <v>30</v>
      </c>
      <c r="F111" s="247" t="s">
        <v>263</v>
      </c>
      <c r="G111" s="247" t="s">
        <v>264</v>
      </c>
      <c r="H111" s="248" t="s">
        <v>22</v>
      </c>
      <c r="I111" s="249" t="s">
        <v>22</v>
      </c>
      <c r="K111" s="145"/>
    </row>
    <row r="112" spans="1:12" ht="12" customHeight="1" x14ac:dyDescent="0.25">
      <c r="A112" s="241" t="s">
        <v>316</v>
      </c>
      <c r="B112" s="241" t="s">
        <v>315</v>
      </c>
      <c r="C112" s="520" t="s">
        <v>2</v>
      </c>
      <c r="D112" s="521"/>
      <c r="E112" s="293"/>
      <c r="F112" s="231"/>
      <c r="G112" s="293"/>
      <c r="H112" s="293"/>
      <c r="I112" s="294"/>
      <c r="K112" s="145"/>
    </row>
    <row r="113" spans="1:11" ht="12" customHeight="1" x14ac:dyDescent="0.25">
      <c r="A113" s="250" t="s">
        <v>1</v>
      </c>
      <c r="B113" s="261">
        <v>8371</v>
      </c>
      <c r="C113" s="577" t="s">
        <v>66</v>
      </c>
      <c r="D113" s="578"/>
      <c r="E113" s="398">
        <f>'Dates-Rates'!E36</f>
        <v>1585</v>
      </c>
      <c r="F113" s="323">
        <f>SUMIFS($F$20:$F$35,$I$20:$I$35,"Laptop",$G$20:$G$35,"&lt;"&amp;'Dates-Rates'!$B$6)</f>
        <v>0</v>
      </c>
      <c r="G113" s="323">
        <f>SUMIFS($F$20:$F$35,$I$20:$I$35,"Laptop",$G$20:$G$35,"&gt;="&amp;'Dates-Rates'!B6)</f>
        <v>0</v>
      </c>
      <c r="H113" s="353">
        <f>F113*E113</f>
        <v>0</v>
      </c>
      <c r="I113" s="259">
        <f>G113*E113</f>
        <v>0</v>
      </c>
      <c r="K113" s="145"/>
    </row>
    <row r="114" spans="1:11" ht="12" customHeight="1" x14ac:dyDescent="0.25">
      <c r="A114" s="270" t="s">
        <v>1</v>
      </c>
      <c r="B114" s="271">
        <v>8371</v>
      </c>
      <c r="C114" s="567" t="s">
        <v>67</v>
      </c>
      <c r="D114" s="568"/>
      <c r="E114" s="399">
        <f>'Dates-Rates'!E37</f>
        <v>355</v>
      </c>
      <c r="F114" s="323">
        <f>SUMIFS($F$20:$F$35,$I$20:$I$35,"Laptop",$G$20:$G$35,"&lt;"&amp;'Dates-Rates'!$B$6)</f>
        <v>0</v>
      </c>
      <c r="G114" s="323">
        <f>SUMIFS($F$20:$F$35,$I$20:$I$35,"Laptop",$G$20:$G$35,"&gt;="&amp;'Dates-Rates'!B6)</f>
        <v>0</v>
      </c>
      <c r="H114" s="354">
        <f>F114*E114</f>
        <v>0</v>
      </c>
      <c r="I114" s="269">
        <f>G114*E114</f>
        <v>0</v>
      </c>
      <c r="K114" s="145"/>
    </row>
    <row r="115" spans="1:11" ht="12" customHeight="1" x14ac:dyDescent="0.25">
      <c r="A115" s="270" t="s">
        <v>1</v>
      </c>
      <c r="B115" s="271">
        <v>8371</v>
      </c>
      <c r="C115" s="567" t="s">
        <v>68</v>
      </c>
      <c r="D115" s="568"/>
      <c r="E115" s="399">
        <f>'Dates-Rates'!E38</f>
        <v>1155</v>
      </c>
      <c r="F115" s="323">
        <f>SUMIFS($F$20:$F$35,$I$20:$I$35,"Desktop",$G$20:$G$35,"&lt;"&amp;'Dates-Rates'!$B$6)</f>
        <v>0</v>
      </c>
      <c r="G115" s="323">
        <f>SUMIFS($F$20:$F$35,$I$20:$I$35,"Desktop",$G$20:$G$35,"&gt;="&amp;'Dates-Rates'!B6)</f>
        <v>0</v>
      </c>
      <c r="H115" s="354">
        <f>F115*E115</f>
        <v>0</v>
      </c>
      <c r="I115" s="269">
        <f>G115*E115</f>
        <v>0</v>
      </c>
      <c r="K115" s="145"/>
    </row>
    <row r="116" spans="1:11" ht="12" customHeight="1" x14ac:dyDescent="0.25">
      <c r="A116" s="270" t="s">
        <v>1</v>
      </c>
      <c r="B116" s="271">
        <v>8371</v>
      </c>
      <c r="C116" s="567" t="s">
        <v>283</v>
      </c>
      <c r="D116" s="568"/>
      <c r="E116" s="399">
        <f>'Dates-Rates'!E39</f>
        <v>95</v>
      </c>
      <c r="F116" s="323">
        <f>SUMIFS($F$20:$F$35,$I$20:$I$35,"Desktop",$G$20:$G$35,"&lt;"&amp;'Dates-Rates'!$B$6)</f>
        <v>0</v>
      </c>
      <c r="G116" s="323">
        <f>SUMIFS($F$20:$F$35,$I$20:$I$35,"Desktop",$G$20:$G$35,"&gt;="&amp;'Dates-Rates'!B6)</f>
        <v>0</v>
      </c>
      <c r="H116" s="354">
        <f>F116*E116</f>
        <v>0</v>
      </c>
      <c r="I116" s="269">
        <f>G116*E116</f>
        <v>0</v>
      </c>
      <c r="J116" s="192"/>
      <c r="K116" s="145"/>
    </row>
    <row r="117" spans="1:11" ht="12" customHeight="1" x14ac:dyDescent="0.25">
      <c r="A117" s="270" t="s">
        <v>1</v>
      </c>
      <c r="B117" s="271">
        <v>8371</v>
      </c>
      <c r="C117" s="567" t="s">
        <v>285</v>
      </c>
      <c r="D117" s="568"/>
      <c r="E117" s="399">
        <f>'Dates-Rates'!E40</f>
        <v>24</v>
      </c>
      <c r="F117" s="323">
        <f>SUMIFS($F$20:$F$35,$I$20:$I$35,"Desktop",$G$20:$G$35,"&lt;"&amp;'Dates-Rates'!$B$6)+SUMIFS($F$20:$F$35,$I$20:$I$35,"Laptop",$G$20:$G$35,"&lt;"&amp;'Dates-Rates'!$B$6)</f>
        <v>0</v>
      </c>
      <c r="G117" s="323">
        <f>SUMIFS($F$20:$F$35,$I$20:$I$35,"Desktop",$G$20:$G$35,"&gt;="&amp;'Dates-Rates'!B6)+SUMIFS($F$20:$F$35,$I$20:$I$35,"Laptop",$G$20:$G$35,"&gt;="&amp;'Dates-Rates'!B6)</f>
        <v>0</v>
      </c>
      <c r="H117" s="354">
        <f>F117*E117</f>
        <v>0</v>
      </c>
      <c r="I117" s="269">
        <f>G117*E117</f>
        <v>0</v>
      </c>
      <c r="J117" s="192"/>
      <c r="K117" s="145"/>
    </row>
    <row r="118" spans="1:11" ht="12" customHeight="1" x14ac:dyDescent="0.25">
      <c r="A118" s="270" t="s">
        <v>1</v>
      </c>
      <c r="B118" s="271">
        <v>8371</v>
      </c>
      <c r="C118" s="567" t="s">
        <v>284</v>
      </c>
      <c r="D118" s="568"/>
      <c r="E118" s="399">
        <f>'Dates-Rates'!E41</f>
        <v>2880</v>
      </c>
      <c r="F118" s="323">
        <f>SUMIFS($F$20:$F$35,$G$20:$G$35,"&lt;"&amp;'Dates-Rates'!$B$6,$F$20:$F$35,"&gt;=15")</f>
        <v>0</v>
      </c>
      <c r="G118" s="323">
        <f>SUMIFS($F$20:$F$35,$G$20:$G$35,"&lt;"&amp;'Dates-Rates'!B6,$F$20:$F$35,"&gt;=15")</f>
        <v>0</v>
      </c>
      <c r="H118" s="354">
        <f>IF(F118&gt;14.9,(ROUNDDOWN((F118/15),0)*$E$118),0)</f>
        <v>0</v>
      </c>
      <c r="I118" s="269">
        <f>IF(G118&gt;4.9,(ROUNDDOWN((G118/5),0)*$E$118),IF(F118&lt;15,IF((SUM(F118:G118)&gt;14.9),(ROUNDDOWN(SUM(F118:G118)/15,0)*$E$118),0),0))</f>
        <v>0</v>
      </c>
      <c r="J118" s="192"/>
      <c r="K118" s="145"/>
    </row>
    <row r="119" spans="1:11" ht="12" customHeight="1" x14ac:dyDescent="0.25">
      <c r="A119" s="270" t="s">
        <v>1</v>
      </c>
      <c r="B119" s="271">
        <v>8371</v>
      </c>
      <c r="C119" s="567" t="s">
        <v>306</v>
      </c>
      <c r="D119" s="568"/>
      <c r="E119" s="399">
        <f>'Dates-Rates'!E42</f>
        <v>75</v>
      </c>
      <c r="F119" s="323">
        <f>SUMIFS($F$20:$F$35,$H$20:$H$35,"&lt;&gt;CLERICAL SUPPORT",$G$20:$G$35,"&lt;"&amp;'Dates-Rates'!$B$6)</f>
        <v>0</v>
      </c>
      <c r="G119" s="323">
        <f>SUMIFS($F$20:$F$35,$H$20:$H$35,"&lt;&gt;CLERICAL SUPPORT",$G$20:$G$35,"&gt;="&amp;'Dates-Rates'!B6)</f>
        <v>0</v>
      </c>
      <c r="H119" s="354">
        <f>F119*E119</f>
        <v>0</v>
      </c>
      <c r="I119" s="269">
        <f>G119*E119</f>
        <v>0</v>
      </c>
      <c r="K119" s="145"/>
    </row>
    <row r="120" spans="1:11" ht="12" customHeight="1" x14ac:dyDescent="0.25">
      <c r="A120" s="270" t="s">
        <v>1</v>
      </c>
      <c r="B120" s="271">
        <v>7771</v>
      </c>
      <c r="C120" s="569" t="s">
        <v>69</v>
      </c>
      <c r="D120" s="570"/>
      <c r="E120" s="399">
        <f>'Dates-Rates'!E43</f>
        <v>330</v>
      </c>
      <c r="F120" s="323">
        <f>SUMIFS($F$20:$F$35,$I$20:$I$35,"Desktop",$G$20:$G$35,"&lt;"&amp;'Dates-Rates'!$B$6)+SUMIFS($F$20:$F$35,$I$20:$I$35,"Laptop",$G$20:$G$35,"&lt;"&amp;'Dates-Rates'!$B$6)</f>
        <v>0</v>
      </c>
      <c r="G120" s="323">
        <f>SUMIFS($F$20:$F$35,$I$20:$I$35,"Desktop",$G$20:$G$35,"&gt;="&amp;'Dates-Rates'!B6)+SUMIFS($F$20:$F$35,$I$20:$I$35,"Laptop",$G$20:$G$35,"&gt;="&amp;'Dates-Rates'!B6)</f>
        <v>0</v>
      </c>
      <c r="H120" s="354">
        <f>F120*E120</f>
        <v>0</v>
      </c>
      <c r="I120" s="269">
        <f>G120*E120</f>
        <v>0</v>
      </c>
      <c r="K120" s="145"/>
    </row>
    <row r="121" spans="1:11" ht="12" customHeight="1" x14ac:dyDescent="0.25">
      <c r="A121" s="345" t="s">
        <v>304</v>
      </c>
      <c r="B121" s="346"/>
      <c r="C121" s="346"/>
      <c r="D121" s="346"/>
      <c r="E121" s="320"/>
      <c r="F121" s="231"/>
      <c r="G121" s="293"/>
      <c r="H121" s="355">
        <f>SUM(H113:H120)</f>
        <v>0</v>
      </c>
      <c r="I121" s="356">
        <f>SUM(I113:I120)</f>
        <v>0</v>
      </c>
      <c r="K121" s="145"/>
    </row>
    <row r="124" spans="1:11" x14ac:dyDescent="0.25">
      <c r="A124" s="315" t="s">
        <v>322</v>
      </c>
      <c r="B124" s="286"/>
      <c r="C124" s="286"/>
      <c r="D124" s="286"/>
      <c r="E124" s="286"/>
      <c r="F124" s="286"/>
      <c r="G124" s="288"/>
      <c r="H124" s="210" t="str">
        <f>E8</f>
        <v>SFY 2020</v>
      </c>
      <c r="I124" s="209" t="str">
        <f>F8</f>
        <v>SFY 2021</v>
      </c>
      <c r="J124" s="153"/>
      <c r="K124" s="145"/>
    </row>
    <row r="125" spans="1:11" ht="52.8" x14ac:dyDescent="0.25">
      <c r="A125" s="331"/>
      <c r="B125" s="318"/>
      <c r="C125" s="318"/>
      <c r="D125" s="318"/>
      <c r="E125" s="247" t="s">
        <v>286</v>
      </c>
      <c r="F125" s="247" t="s">
        <v>287</v>
      </c>
      <c r="G125" s="291" t="s">
        <v>47</v>
      </c>
      <c r="H125" s="248" t="s">
        <v>22</v>
      </c>
      <c r="I125" s="249" t="s">
        <v>22</v>
      </c>
      <c r="K125" s="145"/>
    </row>
    <row r="126" spans="1:11" ht="12" customHeight="1" x14ac:dyDescent="0.25">
      <c r="A126" s="241" t="s">
        <v>316</v>
      </c>
      <c r="B126" s="241" t="s">
        <v>315</v>
      </c>
      <c r="C126" s="456" t="s">
        <v>2</v>
      </c>
      <c r="D126" s="457"/>
      <c r="E126" s="231"/>
      <c r="F126" s="293"/>
      <c r="G126" s="293"/>
      <c r="H126" s="293"/>
      <c r="I126" s="294"/>
      <c r="K126" s="145"/>
    </row>
    <row r="127" spans="1:11" ht="12" customHeight="1" x14ac:dyDescent="0.25">
      <c r="A127" s="402" t="s">
        <v>45</v>
      </c>
      <c r="B127" s="403">
        <v>7398</v>
      </c>
      <c r="C127" s="404" t="s">
        <v>46</v>
      </c>
      <c r="D127" s="405"/>
      <c r="E127" s="362">
        <f>SUM(E9:E13)</f>
        <v>0</v>
      </c>
      <c r="F127" s="362">
        <f>SUM(F9:F13)</f>
        <v>0</v>
      </c>
      <c r="G127" s="193">
        <v>0</v>
      </c>
      <c r="H127" s="363">
        <f>ROUND(E127*$G$127,2)</f>
        <v>0</v>
      </c>
      <c r="I127" s="364">
        <f>ROUND(F127*$G$127,2)</f>
        <v>0</v>
      </c>
      <c r="K127" s="145"/>
    </row>
  </sheetData>
  <mergeCells count="32">
    <mergeCell ref="B90:D90"/>
    <mergeCell ref="C117:D117"/>
    <mergeCell ref="C118:D118"/>
    <mergeCell ref="C119:D119"/>
    <mergeCell ref="C120:D120"/>
    <mergeCell ref="B91:D91"/>
    <mergeCell ref="B92:D92"/>
    <mergeCell ref="C112:D112"/>
    <mergeCell ref="C113:D113"/>
    <mergeCell ref="C114:D114"/>
    <mergeCell ref="C115:D115"/>
    <mergeCell ref="C116:D116"/>
    <mergeCell ref="C83:D83"/>
    <mergeCell ref="B89:C89"/>
    <mergeCell ref="Q18:Q19"/>
    <mergeCell ref="A37:B37"/>
    <mergeCell ref="H40:I40"/>
    <mergeCell ref="E74:G74"/>
    <mergeCell ref="H74:J74"/>
    <mergeCell ref="J40:K40"/>
    <mergeCell ref="B1:C1"/>
    <mergeCell ref="C15:D15"/>
    <mergeCell ref="B2:C2"/>
    <mergeCell ref="B3:C3"/>
    <mergeCell ref="B4:C4"/>
    <mergeCell ref="C8:D8"/>
    <mergeCell ref="C9:D9"/>
    <mergeCell ref="C10:D10"/>
    <mergeCell ref="C11:D11"/>
    <mergeCell ref="C12:D12"/>
    <mergeCell ref="C13:D13"/>
    <mergeCell ref="C14:D14"/>
  </mergeCells>
  <dataValidations count="1">
    <dataValidation type="list" allowBlank="1" showInputMessage="1" showErrorMessage="1" errorTitle="Entry Error" error="You must select a value from the drop down box." sqref="H20:H35">
      <formula1>$C$77:$C$80</formula1>
    </dataValidation>
  </dataValidations>
  <pageMargins left="0.45" right="0.45" top="0.75" bottom="0.75" header="0.3" footer="0.3"/>
  <pageSetup scale="41" fitToHeight="2" orientation="landscape" r:id="rId1"/>
  <rowBreaks count="1" manualBreakCount="1">
    <brk id="73" max="17"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'Dates-Rates'!$C$48:$C$52</xm:f>
          </x14:formula1>
          <xm:sqref>C20:C35</xm:sqref>
        </x14:dataValidation>
        <x14:dataValidation type="list" allowBlank="1" showInputMessage="1" showErrorMessage="1" errorTitle="Entry Error" error="You must select a value from the drop down box.">
          <x14:formula1>
            <xm:f>'Dates-Rates'!$B$48:$B$49</xm:f>
          </x14:formula1>
          <xm:sqref>I20:I35</xm:sqref>
        </x14:dataValidation>
        <x14:dataValidation type="list" allowBlank="1" showInputMessage="1" showErrorMessage="1" errorTitle="Entry Error" error="You must select a value from the drop down box.">
          <x14:formula1>
            <xm:f>'Dates-Rates'!$A$48:$A$49</xm:f>
          </x14:formula1>
          <xm:sqref>J20:J35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52"/>
  <sheetViews>
    <sheetView topLeftCell="A4" workbookViewId="0">
      <selection activeCell="L24" sqref="L24"/>
    </sheetView>
  </sheetViews>
  <sheetFormatPr defaultRowHeight="14.4" x14ac:dyDescent="0.3"/>
  <cols>
    <col min="1" max="1" width="34.44140625" bestFit="1" customWidth="1"/>
    <col min="2" max="2" width="12.109375" customWidth="1"/>
    <col min="3" max="3" width="31.88671875" customWidth="1"/>
    <col min="4" max="4" width="21.5546875" bestFit="1" customWidth="1"/>
    <col min="5" max="5" width="22.6640625" customWidth="1"/>
  </cols>
  <sheetData>
    <row r="1" spans="1:8" s="110" customFormat="1" ht="15" x14ac:dyDescent="0.25">
      <c r="A1" s="371" t="s">
        <v>41</v>
      </c>
    </row>
    <row r="2" spans="1:8" s="110" customFormat="1" ht="15" x14ac:dyDescent="0.25"/>
    <row r="3" spans="1:8" ht="15" x14ac:dyDescent="0.25">
      <c r="A3" s="372" t="s">
        <v>370</v>
      </c>
    </row>
    <row r="4" spans="1:8" ht="15" x14ac:dyDescent="0.25">
      <c r="A4" t="s">
        <v>364</v>
      </c>
      <c r="B4" s="369">
        <v>43647</v>
      </c>
    </row>
    <row r="5" spans="1:8" ht="15" x14ac:dyDescent="0.25">
      <c r="A5" t="s">
        <v>365</v>
      </c>
      <c r="B5" s="369">
        <v>44012</v>
      </c>
    </row>
    <row r="6" spans="1:8" ht="15" x14ac:dyDescent="0.25">
      <c r="A6" t="s">
        <v>362</v>
      </c>
      <c r="B6" s="369">
        <v>44013</v>
      </c>
      <c r="E6" s="87"/>
      <c r="F6" s="87"/>
      <c r="G6" s="87"/>
      <c r="H6" s="87"/>
    </row>
    <row r="7" spans="1:8" ht="15" x14ac:dyDescent="0.25">
      <c r="A7" t="s">
        <v>363</v>
      </c>
      <c r="B7" s="369">
        <v>44377</v>
      </c>
      <c r="E7" s="87"/>
      <c r="F7" s="87"/>
      <c r="G7" s="87"/>
      <c r="H7" s="87"/>
    </row>
    <row r="8" spans="1:8" ht="15" x14ac:dyDescent="0.25">
      <c r="A8" t="s">
        <v>361</v>
      </c>
      <c r="B8" s="369">
        <v>43647</v>
      </c>
      <c r="E8" s="87"/>
      <c r="F8" s="87"/>
      <c r="G8" s="87"/>
      <c r="H8" s="87"/>
    </row>
    <row r="9" spans="1:8" ht="15" x14ac:dyDescent="0.25">
      <c r="B9" s="369"/>
      <c r="E9" s="87"/>
      <c r="F9" s="87"/>
      <c r="G9" s="87"/>
      <c r="H9" s="87"/>
    </row>
    <row r="10" spans="1:8" ht="15" x14ac:dyDescent="0.25">
      <c r="A10" t="s">
        <v>360</v>
      </c>
      <c r="B10" s="370"/>
      <c r="C10" s="92" t="s">
        <v>357</v>
      </c>
      <c r="E10" s="87"/>
      <c r="F10" s="75"/>
      <c r="G10" s="89"/>
      <c r="H10" s="90"/>
    </row>
    <row r="11" spans="1:8" ht="15" x14ac:dyDescent="0.25">
      <c r="A11" t="s">
        <v>355</v>
      </c>
      <c r="B11" s="370">
        <v>2020</v>
      </c>
      <c r="C11" t="str">
        <f>"SFY "&amp;'Dates-Rates'!$B$11</f>
        <v>SFY 2020</v>
      </c>
      <c r="E11" s="87"/>
      <c r="F11" s="75"/>
      <c r="G11" s="89"/>
      <c r="H11" s="90"/>
    </row>
    <row r="12" spans="1:8" ht="15" x14ac:dyDescent="0.25">
      <c r="A12" t="s">
        <v>356</v>
      </c>
      <c r="B12" s="370">
        <v>2021</v>
      </c>
      <c r="C12" t="str">
        <f>"SFY "&amp;'Dates-Rates'!$B$12</f>
        <v>SFY 2021</v>
      </c>
      <c r="E12" s="87"/>
      <c r="F12" s="75"/>
      <c r="G12" s="89"/>
      <c r="H12" s="90"/>
    </row>
    <row r="13" spans="1:8" ht="15" x14ac:dyDescent="0.25">
      <c r="B13" s="370"/>
      <c r="E13" s="87"/>
      <c r="F13" s="75"/>
      <c r="G13" s="89"/>
      <c r="H13" s="90"/>
    </row>
    <row r="14" spans="1:8" ht="15" x14ac:dyDescent="0.25">
      <c r="A14" t="s">
        <v>358</v>
      </c>
      <c r="B14" s="369">
        <v>43739</v>
      </c>
      <c r="C14" t="str">
        <f>"Yr1 = "&amp;TEXT('Dates-Rates'!B14,"mm/d/yyyy")&amp;" or later"</f>
        <v>Yr1 = 10/1/2019 or later</v>
      </c>
      <c r="E14" s="87"/>
      <c r="F14" s="87"/>
      <c r="G14" s="89"/>
      <c r="H14" s="90"/>
    </row>
    <row r="15" spans="1:8" ht="15" x14ac:dyDescent="0.25">
      <c r="A15" t="s">
        <v>359</v>
      </c>
      <c r="B15" s="369">
        <v>44013</v>
      </c>
      <c r="C15" t="str">
        <f>"Yr2 = "&amp;TEXT('Dates-Rates'!B15,"mm/d/yyyy")&amp;" or later"</f>
        <v>Yr2 = 07/1/2020 or later</v>
      </c>
      <c r="E15" s="75"/>
      <c r="F15" s="87"/>
      <c r="G15" s="89"/>
      <c r="H15" s="90"/>
    </row>
    <row r="18" spans="1:5" ht="15" x14ac:dyDescent="0.25">
      <c r="A18" s="105" t="s">
        <v>371</v>
      </c>
    </row>
    <row r="19" spans="1:5" ht="15" x14ac:dyDescent="0.25">
      <c r="A19" s="289" t="s">
        <v>259</v>
      </c>
      <c r="B19" s="290"/>
      <c r="C19" s="290"/>
      <c r="D19" s="291" t="s">
        <v>261</v>
      </c>
      <c r="E19" s="292" t="s">
        <v>262</v>
      </c>
    </row>
    <row r="20" spans="1:5" ht="15" x14ac:dyDescent="0.25">
      <c r="A20" s="241" t="s">
        <v>316</v>
      </c>
      <c r="B20" s="241" t="s">
        <v>315</v>
      </c>
      <c r="C20" s="242" t="s">
        <v>2</v>
      </c>
      <c r="D20" s="231"/>
      <c r="E20" s="231"/>
    </row>
    <row r="21" spans="1:5" ht="15" x14ac:dyDescent="0.25">
      <c r="A21" s="250" t="s">
        <v>5</v>
      </c>
      <c r="B21" s="251">
        <v>7050</v>
      </c>
      <c r="C21" s="295" t="s">
        <v>257</v>
      </c>
      <c r="D21" s="462">
        <v>1.5</v>
      </c>
      <c r="E21" s="462">
        <v>1.5</v>
      </c>
    </row>
    <row r="22" spans="1:5" ht="15" x14ac:dyDescent="0.25">
      <c r="A22" s="260" t="s">
        <v>5</v>
      </c>
      <c r="B22" s="261">
        <v>7054</v>
      </c>
      <c r="C22" s="298" t="s">
        <v>258</v>
      </c>
      <c r="D22" s="463">
        <v>97.07</v>
      </c>
      <c r="E22" s="464">
        <v>97.07</v>
      </c>
    </row>
    <row r="23" spans="1:5" ht="15" x14ac:dyDescent="0.25">
      <c r="A23" s="250" t="s">
        <v>1</v>
      </c>
      <c r="B23" s="251">
        <v>7554</v>
      </c>
      <c r="C23" s="295" t="s">
        <v>272</v>
      </c>
      <c r="D23" s="462">
        <v>211.57</v>
      </c>
      <c r="E23" s="462">
        <v>211.57</v>
      </c>
    </row>
    <row r="24" spans="1:5" ht="15" x14ac:dyDescent="0.25">
      <c r="A24" s="260" t="s">
        <v>1</v>
      </c>
      <c r="B24" s="261">
        <v>7556</v>
      </c>
      <c r="C24" s="298" t="s">
        <v>273</v>
      </c>
      <c r="D24" s="463">
        <v>128.66</v>
      </c>
      <c r="E24" s="463">
        <v>128.66</v>
      </c>
    </row>
    <row r="25" spans="1:5" ht="15" x14ac:dyDescent="0.25">
      <c r="A25" s="331" t="s">
        <v>342</v>
      </c>
      <c r="B25" s="318"/>
      <c r="C25" s="318"/>
      <c r="D25" s="179" t="s">
        <v>332</v>
      </c>
      <c r="E25" s="180" t="s">
        <v>333</v>
      </c>
    </row>
    <row r="26" spans="1:5" ht="15" x14ac:dyDescent="0.25">
      <c r="A26" s="241" t="s">
        <v>316</v>
      </c>
      <c r="B26" s="241" t="s">
        <v>315</v>
      </c>
      <c r="C26" s="319" t="s">
        <v>2</v>
      </c>
      <c r="D26" s="231"/>
      <c r="E26" s="231"/>
    </row>
    <row r="27" spans="1:5" ht="15" x14ac:dyDescent="0.25">
      <c r="A27" s="260" t="s">
        <v>1</v>
      </c>
      <c r="B27" s="261">
        <v>7533</v>
      </c>
      <c r="C27" s="311" t="s">
        <v>65</v>
      </c>
      <c r="D27" s="191">
        <v>14.53</v>
      </c>
      <c r="E27" s="191">
        <v>14.53</v>
      </c>
    </row>
    <row r="29" spans="1:5" s="110" customFormat="1" ht="15" x14ac:dyDescent="0.25">
      <c r="A29" s="241" t="s">
        <v>316</v>
      </c>
      <c r="B29" s="103" t="s">
        <v>315</v>
      </c>
      <c r="C29" s="104" t="s">
        <v>2</v>
      </c>
      <c r="D29" s="102" t="s">
        <v>368</v>
      </c>
    </row>
    <row r="30" spans="1:5" ht="15" x14ac:dyDescent="0.25">
      <c r="A30" s="260" t="s">
        <v>5</v>
      </c>
      <c r="B30" s="261">
        <v>7289</v>
      </c>
      <c r="C30" s="311" t="s">
        <v>425</v>
      </c>
      <c r="D30" s="181">
        <v>10.39</v>
      </c>
    </row>
    <row r="32" spans="1:5" ht="15" x14ac:dyDescent="0.25">
      <c r="A32" s="241" t="s">
        <v>316</v>
      </c>
      <c r="B32" s="490" t="s">
        <v>2</v>
      </c>
      <c r="C32" s="491"/>
      <c r="D32" s="287"/>
      <c r="E32" s="102" t="s">
        <v>367</v>
      </c>
    </row>
    <row r="33" spans="1:5" s="110" customFormat="1" ht="15" x14ac:dyDescent="0.25">
      <c r="A33" s="373" t="s">
        <v>28</v>
      </c>
      <c r="B33" s="374">
        <v>7461</v>
      </c>
      <c r="C33" s="489" t="s">
        <v>426</v>
      </c>
      <c r="D33" s="489"/>
      <c r="E33" s="375" t="s">
        <v>427</v>
      </c>
    </row>
    <row r="34" spans="1:5" ht="39" customHeight="1" x14ac:dyDescent="0.25">
      <c r="A34" s="376" t="s">
        <v>28</v>
      </c>
      <c r="B34" s="492" t="s">
        <v>336</v>
      </c>
      <c r="C34" s="492"/>
      <c r="D34" s="492"/>
      <c r="E34" s="377">
        <v>2383</v>
      </c>
    </row>
    <row r="35" spans="1:5" ht="42.75" customHeight="1" x14ac:dyDescent="0.25">
      <c r="A35" s="376" t="s">
        <v>28</v>
      </c>
      <c r="B35" s="492" t="s">
        <v>337</v>
      </c>
      <c r="C35" s="492"/>
      <c r="D35" s="492"/>
      <c r="E35" s="377">
        <v>3745</v>
      </c>
    </row>
    <row r="36" spans="1:5" x14ac:dyDescent="0.3">
      <c r="A36" s="376" t="s">
        <v>1</v>
      </c>
      <c r="B36" s="378">
        <v>8371</v>
      </c>
      <c r="C36" s="487" t="s">
        <v>66</v>
      </c>
      <c r="D36" s="487"/>
      <c r="E36" s="379">
        <v>1585</v>
      </c>
    </row>
    <row r="37" spans="1:5" x14ac:dyDescent="0.3">
      <c r="A37" s="376" t="s">
        <v>1</v>
      </c>
      <c r="B37" s="378">
        <v>8371</v>
      </c>
      <c r="C37" s="487" t="s">
        <v>67</v>
      </c>
      <c r="D37" s="487"/>
      <c r="E37" s="380">
        <v>355</v>
      </c>
    </row>
    <row r="38" spans="1:5" x14ac:dyDescent="0.3">
      <c r="A38" s="376" t="s">
        <v>1</v>
      </c>
      <c r="B38" s="378">
        <v>8371</v>
      </c>
      <c r="C38" s="487" t="s">
        <v>68</v>
      </c>
      <c r="D38" s="487"/>
      <c r="E38" s="380">
        <v>1155</v>
      </c>
    </row>
    <row r="39" spans="1:5" x14ac:dyDescent="0.3">
      <c r="A39" s="376" t="s">
        <v>1</v>
      </c>
      <c r="B39" s="378">
        <v>8371</v>
      </c>
      <c r="C39" s="487" t="s">
        <v>283</v>
      </c>
      <c r="D39" s="487"/>
      <c r="E39" s="380">
        <v>95</v>
      </c>
    </row>
    <row r="40" spans="1:5" x14ac:dyDescent="0.3">
      <c r="A40" s="376" t="s">
        <v>1</v>
      </c>
      <c r="B40" s="378">
        <v>8371</v>
      </c>
      <c r="C40" s="487" t="s">
        <v>285</v>
      </c>
      <c r="D40" s="487"/>
      <c r="E40" s="380">
        <v>24</v>
      </c>
    </row>
    <row r="41" spans="1:5" x14ac:dyDescent="0.3">
      <c r="A41" s="376" t="s">
        <v>1</v>
      </c>
      <c r="B41" s="378">
        <v>8371</v>
      </c>
      <c r="C41" s="487" t="s">
        <v>284</v>
      </c>
      <c r="D41" s="487"/>
      <c r="E41" s="380">
        <v>2880</v>
      </c>
    </row>
    <row r="42" spans="1:5" x14ac:dyDescent="0.3">
      <c r="A42" s="376" t="s">
        <v>1</v>
      </c>
      <c r="B42" s="378">
        <v>8371</v>
      </c>
      <c r="C42" s="487" t="s">
        <v>306</v>
      </c>
      <c r="D42" s="487"/>
      <c r="E42" s="380">
        <v>75</v>
      </c>
    </row>
    <row r="43" spans="1:5" x14ac:dyDescent="0.3">
      <c r="A43" s="381" t="s">
        <v>1</v>
      </c>
      <c r="B43" s="382">
        <v>7771</v>
      </c>
      <c r="C43" s="488" t="s">
        <v>69</v>
      </c>
      <c r="D43" s="488"/>
      <c r="E43" s="383">
        <v>330</v>
      </c>
    </row>
    <row r="46" spans="1:5" x14ac:dyDescent="0.3">
      <c r="A46" s="88" t="s">
        <v>31</v>
      </c>
      <c r="B46" s="87"/>
      <c r="C46" s="75"/>
    </row>
    <row r="47" spans="1:5" x14ac:dyDescent="0.3">
      <c r="A47" s="386" t="s">
        <v>369</v>
      </c>
      <c r="B47" s="386" t="s">
        <v>35</v>
      </c>
      <c r="C47" s="386" t="s">
        <v>76</v>
      </c>
    </row>
    <row r="48" spans="1:5" x14ac:dyDescent="0.3">
      <c r="A48" s="384" t="s">
        <v>25</v>
      </c>
      <c r="B48" s="384" t="s">
        <v>33</v>
      </c>
      <c r="C48" s="385" t="s">
        <v>77</v>
      </c>
    </row>
    <row r="49" spans="1:3" x14ac:dyDescent="0.3">
      <c r="A49" s="384" t="s">
        <v>26</v>
      </c>
      <c r="B49" s="384" t="s">
        <v>34</v>
      </c>
      <c r="C49" s="385" t="s">
        <v>78</v>
      </c>
    </row>
    <row r="50" spans="1:3" x14ac:dyDescent="0.3">
      <c r="A50" s="384"/>
      <c r="B50" s="384"/>
      <c r="C50" s="385" t="s">
        <v>79</v>
      </c>
    </row>
    <row r="51" spans="1:3" x14ac:dyDescent="0.3">
      <c r="A51" s="384"/>
      <c r="B51" s="384"/>
      <c r="C51" s="385" t="s">
        <v>80</v>
      </c>
    </row>
    <row r="52" spans="1:3" x14ac:dyDescent="0.3">
      <c r="A52" s="384"/>
      <c r="B52" s="384"/>
      <c r="C52" s="385" t="s">
        <v>81</v>
      </c>
    </row>
  </sheetData>
  <mergeCells count="12">
    <mergeCell ref="C38:D38"/>
    <mergeCell ref="C33:D33"/>
    <mergeCell ref="B32:C32"/>
    <mergeCell ref="B34:D34"/>
    <mergeCell ref="B35:D35"/>
    <mergeCell ref="C36:D36"/>
    <mergeCell ref="C37:D37"/>
    <mergeCell ref="C39:D39"/>
    <mergeCell ref="C40:D40"/>
    <mergeCell ref="C41:D41"/>
    <mergeCell ref="C42:D42"/>
    <mergeCell ref="C43:D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J51"/>
  <sheetViews>
    <sheetView workbookViewId="0">
      <selection activeCell="E8" sqref="E8"/>
    </sheetView>
  </sheetViews>
  <sheetFormatPr defaultColWidth="9.109375" defaultRowHeight="14.4" x14ac:dyDescent="0.3"/>
  <cols>
    <col min="1" max="1" width="30" style="1" customWidth="1"/>
    <col min="2" max="2" width="19.5546875" style="1" customWidth="1"/>
    <col min="3" max="3" width="49.6640625" style="1" customWidth="1"/>
    <col min="4" max="4" width="6" style="1" customWidth="1"/>
    <col min="5" max="5" width="12.33203125" style="1" customWidth="1"/>
    <col min="6" max="6" width="11.88671875" style="1" customWidth="1"/>
    <col min="7" max="16384" width="9.109375" style="1"/>
  </cols>
  <sheetData>
    <row r="1" spans="1:10" ht="15" x14ac:dyDescent="0.25">
      <c r="A1" s="25" t="s">
        <v>250</v>
      </c>
      <c r="B1" s="502" t="s">
        <v>248</v>
      </c>
      <c r="C1" s="502"/>
      <c r="D1" s="25"/>
      <c r="E1" s="25"/>
      <c r="F1" s="25"/>
      <c r="G1" s="25"/>
    </row>
    <row r="2" spans="1:10" ht="15" x14ac:dyDescent="0.25">
      <c r="A2" s="25" t="s">
        <v>251</v>
      </c>
      <c r="B2" s="503" t="s">
        <v>249</v>
      </c>
      <c r="C2" s="503"/>
      <c r="E2" s="3"/>
      <c r="F2" s="3"/>
      <c r="G2" s="4"/>
    </row>
    <row r="3" spans="1:10" s="18" customFormat="1" ht="15" customHeight="1" x14ac:dyDescent="0.2">
      <c r="A3" s="40" t="s">
        <v>254</v>
      </c>
      <c r="B3" s="501">
        <v>3218</v>
      </c>
      <c r="C3" s="501"/>
      <c r="D3" s="40"/>
      <c r="E3" s="27"/>
      <c r="F3" s="27"/>
      <c r="J3" s="19"/>
    </row>
    <row r="4" spans="1:10" s="22" customFormat="1" ht="15" x14ac:dyDescent="0.25">
      <c r="A4" s="25" t="s">
        <v>255</v>
      </c>
      <c r="B4" s="501" t="s">
        <v>91</v>
      </c>
      <c r="C4" s="501"/>
      <c r="E4" s="3"/>
      <c r="F4" s="3"/>
      <c r="G4" s="4"/>
    </row>
    <row r="5" spans="1:10" s="22" customFormat="1" ht="15" x14ac:dyDescent="0.25">
      <c r="A5" s="24"/>
      <c r="B5" s="2"/>
      <c r="E5" s="3"/>
      <c r="F5" s="3"/>
      <c r="G5" s="4"/>
    </row>
    <row r="6" spans="1:10" s="22" customFormat="1" ht="15.75" thickBot="1" x14ac:dyDescent="0.3">
      <c r="E6" s="3"/>
      <c r="F6" s="3"/>
      <c r="G6" s="4"/>
    </row>
    <row r="7" spans="1:10" ht="28.5" customHeight="1" thickBot="1" x14ac:dyDescent="0.3">
      <c r="A7" s="63" t="s">
        <v>276</v>
      </c>
      <c r="B7" s="43">
        <f>'Example - Decision Unit E232'!B8</f>
        <v>2</v>
      </c>
      <c r="C7" s="504" t="s">
        <v>18</v>
      </c>
      <c r="D7" s="505"/>
      <c r="E7" s="5" t="str">
        <f>"SFY "&amp;'Dates-Rates'!$B$11</f>
        <v>SFY 2020</v>
      </c>
      <c r="F7" s="6" t="str">
        <f>"SFY "&amp;'Dates-Rates'!$B$12</f>
        <v>SFY 2021</v>
      </c>
      <c r="G7" s="7"/>
    </row>
    <row r="8" spans="1:10" ht="15" x14ac:dyDescent="0.25">
      <c r="A8" s="41" t="s">
        <v>277</v>
      </c>
      <c r="B8" s="42">
        <v>16</v>
      </c>
      <c r="C8" s="512" t="s">
        <v>290</v>
      </c>
      <c r="D8" s="513"/>
      <c r="E8" s="30">
        <f>'Example - Decision Unit E232'!E9</f>
        <v>71645</v>
      </c>
      <c r="F8" s="31">
        <f>'Example - Decision Unit E232'!F9</f>
        <v>164411</v>
      </c>
      <c r="G8" s="7"/>
    </row>
    <row r="9" spans="1:10" ht="15" x14ac:dyDescent="0.25">
      <c r="A9" s="41" t="s">
        <v>278</v>
      </c>
      <c r="B9" s="42">
        <v>11</v>
      </c>
      <c r="C9" s="506" t="s">
        <v>378</v>
      </c>
      <c r="D9" s="507"/>
      <c r="E9" s="32">
        <f>'Example - Decision Unit E232'!E10</f>
        <v>2918.931818181818</v>
      </c>
      <c r="F9" s="33">
        <f>'Example - Decision Unit E232'!F10</f>
        <v>3891.909090909091</v>
      </c>
      <c r="G9" s="7"/>
    </row>
    <row r="10" spans="1:10" ht="15" x14ac:dyDescent="0.25">
      <c r="A10" s="8"/>
      <c r="B10" s="2"/>
      <c r="C10" s="506" t="s">
        <v>291</v>
      </c>
      <c r="D10" s="507"/>
      <c r="E10" s="32">
        <f>'Example - Decision Unit E232'!E11</f>
        <v>3268.1731250000003</v>
      </c>
      <c r="F10" s="33">
        <f>'Example - Decision Unit E232'!F11</f>
        <v>8765.8149999999987</v>
      </c>
      <c r="G10" s="7"/>
    </row>
    <row r="11" spans="1:10" ht="15" x14ac:dyDescent="0.25">
      <c r="A11" s="2"/>
      <c r="B11" s="2"/>
      <c r="C11" s="506" t="s">
        <v>295</v>
      </c>
      <c r="D11" s="507"/>
      <c r="E11" s="32">
        <f>'Example - Decision Unit E232'!E12</f>
        <v>2383</v>
      </c>
      <c r="F11" s="33">
        <f>'Example - Decision Unit E232'!F12</f>
        <v>2383</v>
      </c>
      <c r="G11" s="7"/>
    </row>
    <row r="12" spans="1:10" x14ac:dyDescent="0.3">
      <c r="A12" s="508" t="s">
        <v>308</v>
      </c>
      <c r="B12" s="509"/>
      <c r="C12" s="506" t="s">
        <v>293</v>
      </c>
      <c r="D12" s="507"/>
      <c r="E12" s="32">
        <f>'Example - Decision Unit E232'!E13</f>
        <v>2150</v>
      </c>
      <c r="F12" s="33">
        <f>'Example - Decision Unit E232'!F13</f>
        <v>2633.1800000000003</v>
      </c>
      <c r="G12" s="7"/>
    </row>
    <row r="13" spans="1:10" s="22" customFormat="1" x14ac:dyDescent="0.3">
      <c r="A13" s="510"/>
      <c r="B13" s="511"/>
      <c r="C13" s="499" t="s">
        <v>305</v>
      </c>
      <c r="D13" s="500"/>
      <c r="E13" s="32">
        <f>'Example - Decision Unit E232'!E14</f>
        <v>7083.4</v>
      </c>
      <c r="F13" s="33">
        <f>'Example - Decision Unit E232'!F14</f>
        <v>15659.3</v>
      </c>
      <c r="G13" s="23"/>
    </row>
    <row r="14" spans="1:10" ht="15" x14ac:dyDescent="0.25">
      <c r="A14" s="44"/>
      <c r="B14" s="10"/>
      <c r="C14" s="495" t="s">
        <v>37</v>
      </c>
      <c r="D14" s="496"/>
      <c r="E14" s="34">
        <v>0</v>
      </c>
      <c r="F14" s="35">
        <v>0</v>
      </c>
      <c r="G14" s="7"/>
    </row>
    <row r="15" spans="1:10" ht="15" x14ac:dyDescent="0.25">
      <c r="A15" s="10"/>
      <c r="B15" s="10"/>
      <c r="C15" s="11" t="s">
        <v>38</v>
      </c>
      <c r="D15" s="12"/>
      <c r="E15" s="36">
        <v>0</v>
      </c>
      <c r="F15" s="37">
        <v>0</v>
      </c>
      <c r="G15" s="7"/>
    </row>
    <row r="16" spans="1:10" ht="15" x14ac:dyDescent="0.25">
      <c r="A16" s="10"/>
      <c r="B16" s="10"/>
      <c r="C16" s="14" t="s">
        <v>307</v>
      </c>
      <c r="D16" s="13"/>
      <c r="E16" s="38">
        <v>0</v>
      </c>
      <c r="F16" s="39">
        <v>0</v>
      </c>
      <c r="G16" s="7"/>
    </row>
    <row r="17" spans="1:7" ht="15" x14ac:dyDescent="0.25">
      <c r="A17" s="10"/>
      <c r="B17" s="10"/>
      <c r="C17" s="14" t="s">
        <v>307</v>
      </c>
      <c r="D17" s="13"/>
      <c r="E17" s="38">
        <v>0</v>
      </c>
      <c r="F17" s="39">
        <v>0</v>
      </c>
      <c r="G17" s="7"/>
    </row>
    <row r="18" spans="1:7" ht="15" x14ac:dyDescent="0.25">
      <c r="A18" s="10"/>
      <c r="B18" s="10"/>
      <c r="C18" s="14" t="s">
        <v>307</v>
      </c>
      <c r="D18" s="13"/>
      <c r="E18" s="38">
        <v>0</v>
      </c>
      <c r="F18" s="39">
        <v>0</v>
      </c>
      <c r="G18" s="7"/>
    </row>
    <row r="19" spans="1:7" ht="15" x14ac:dyDescent="0.25">
      <c r="A19" s="10"/>
      <c r="B19" s="10"/>
      <c r="C19" s="14" t="s">
        <v>307</v>
      </c>
      <c r="D19" s="13"/>
      <c r="E19" s="38">
        <v>0</v>
      </c>
      <c r="F19" s="39">
        <v>0</v>
      </c>
      <c r="G19" s="7"/>
    </row>
    <row r="20" spans="1:7" ht="15" x14ac:dyDescent="0.25">
      <c r="A20" s="55" t="s">
        <v>41</v>
      </c>
      <c r="B20" s="56"/>
      <c r="C20" s="497" t="s">
        <v>39</v>
      </c>
      <c r="D20" s="498"/>
      <c r="E20" s="57">
        <v>0</v>
      </c>
      <c r="F20" s="58">
        <v>0</v>
      </c>
      <c r="G20" s="7"/>
    </row>
    <row r="21" spans="1:7" ht="15" x14ac:dyDescent="0.25">
      <c r="A21" s="55" t="s">
        <v>41</v>
      </c>
      <c r="B21" s="56"/>
      <c r="C21" s="59" t="s">
        <v>40</v>
      </c>
      <c r="D21" s="60"/>
      <c r="E21" s="61">
        <v>0</v>
      </c>
      <c r="F21" s="62">
        <v>0</v>
      </c>
      <c r="G21" s="7"/>
    </row>
    <row r="22" spans="1:7" ht="15.75" thickBot="1" x14ac:dyDescent="0.3">
      <c r="A22" s="9"/>
      <c r="B22" s="9"/>
      <c r="C22" s="493" t="s">
        <v>19</v>
      </c>
      <c r="D22" s="494"/>
      <c r="E22" s="16">
        <f>SUM(E8:E21)</f>
        <v>89448.504943181819</v>
      </c>
      <c r="F22" s="17">
        <f>SUM(F8:F21)</f>
        <v>197744.20409090907</v>
      </c>
      <c r="G22" s="7"/>
    </row>
    <row r="23" spans="1:7" s="15" customFormat="1" ht="15.75" thickTop="1" x14ac:dyDescent="0.25"/>
    <row r="24" spans="1:7" s="15" customFormat="1" ht="15" x14ac:dyDescent="0.25">
      <c r="A24" s="15" t="s">
        <v>42</v>
      </c>
    </row>
    <row r="25" spans="1:7" s="15" customFormat="1" ht="15" x14ac:dyDescent="0.25"/>
    <row r="26" spans="1:7" s="15" customFormat="1" ht="15" x14ac:dyDescent="0.25"/>
    <row r="27" spans="1:7" s="15" customFormat="1" ht="15" x14ac:dyDescent="0.25"/>
    <row r="28" spans="1:7" s="15" customFormat="1" ht="15" x14ac:dyDescent="0.25"/>
    <row r="29" spans="1:7" s="15" customFormat="1" ht="15" x14ac:dyDescent="0.25"/>
    <row r="30" spans="1:7" s="15" customFormat="1" ht="15" x14ac:dyDescent="0.25"/>
    <row r="31" spans="1:7" s="15" customFormat="1" ht="15" x14ac:dyDescent="0.25"/>
    <row r="32" spans="1:7" s="15" customFormat="1" ht="15" x14ac:dyDescent="0.25"/>
    <row r="33" s="15" customFormat="1" ht="15" x14ac:dyDescent="0.25"/>
    <row r="34" s="15" customFormat="1" ht="15" x14ac:dyDescent="0.25"/>
    <row r="35" s="15" customFormat="1" x14ac:dyDescent="0.3"/>
    <row r="36" s="15" customFormat="1" x14ac:dyDescent="0.3"/>
    <row r="37" s="15" customFormat="1" x14ac:dyDescent="0.3"/>
    <row r="38" s="15" customFormat="1" x14ac:dyDescent="0.3"/>
    <row r="39" s="15" customFormat="1" x14ac:dyDescent="0.3"/>
    <row r="40" s="15" customForma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sheetData>
  <sheetProtection password="DBAD" sheet="1" objects="1" scenarios="1"/>
  <mergeCells count="15">
    <mergeCell ref="B1:C1"/>
    <mergeCell ref="B2:C2"/>
    <mergeCell ref="C7:D7"/>
    <mergeCell ref="C11:D11"/>
    <mergeCell ref="C12:D12"/>
    <mergeCell ref="B3:C3"/>
    <mergeCell ref="A12:B13"/>
    <mergeCell ref="C8:D8"/>
    <mergeCell ref="C9:D9"/>
    <mergeCell ref="C10:D10"/>
    <mergeCell ref="C22:D22"/>
    <mergeCell ref="C14:D14"/>
    <mergeCell ref="C20:D20"/>
    <mergeCell ref="C13:D13"/>
    <mergeCell ref="B4:C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19"/>
  <sheetViews>
    <sheetView workbookViewId="0">
      <selection activeCell="G15" sqref="G15"/>
    </sheetView>
  </sheetViews>
  <sheetFormatPr defaultColWidth="9.109375" defaultRowHeight="13.2" x14ac:dyDescent="0.25"/>
  <cols>
    <col min="1" max="1" width="26.33203125" style="145" customWidth="1"/>
    <col min="2" max="2" width="24.88671875" style="145" customWidth="1"/>
    <col min="3" max="3" width="29" style="145" customWidth="1"/>
    <col min="4" max="4" width="13.88671875" style="145" customWidth="1"/>
    <col min="5" max="5" width="14.33203125" style="145" customWidth="1"/>
    <col min="6" max="6" width="15.109375" style="145" customWidth="1"/>
    <col min="7" max="7" width="15.88671875" style="145" customWidth="1"/>
    <col min="8" max="8" width="16.109375" style="145" customWidth="1"/>
    <col min="9" max="9" width="12.5546875" style="145" customWidth="1"/>
    <col min="10" max="10" width="14" style="145" customWidth="1"/>
    <col min="11" max="11" width="12.44140625" style="145" customWidth="1"/>
    <col min="12" max="12" width="13" style="145" customWidth="1"/>
    <col min="13" max="13" width="12.33203125" style="145" customWidth="1"/>
    <col min="14" max="15" width="15.5546875" style="145" customWidth="1"/>
    <col min="16" max="17" width="15.6640625" style="145" customWidth="1"/>
    <col min="18" max="27" width="9.109375" style="145" customWidth="1"/>
    <col min="28" max="16384" width="9.109375" style="145"/>
  </cols>
  <sheetData>
    <row r="1" spans="1:13" ht="15" customHeight="1" x14ac:dyDescent="0.2">
      <c r="A1" s="143" t="s">
        <v>250</v>
      </c>
      <c r="B1" s="29" t="str">
        <f>'Example - Summary'!B1</f>
        <v>HEALTH AND HUMAN SERVICES</v>
      </c>
      <c r="C1" s="26"/>
      <c r="D1" s="147"/>
      <c r="E1" s="147"/>
      <c r="F1" s="147"/>
      <c r="H1" s="200" t="s">
        <v>320</v>
      </c>
      <c r="I1" s="113"/>
      <c r="J1" s="201"/>
      <c r="K1" s="150"/>
    </row>
    <row r="2" spans="1:13" ht="15" customHeight="1" x14ac:dyDescent="0.2">
      <c r="A2" s="143" t="s">
        <v>251</v>
      </c>
      <c r="B2" s="515" t="str">
        <f>'Example - Summary'!B2</f>
        <v>PUBLIC AND BEHAVIORAL HEALTH</v>
      </c>
      <c r="C2" s="515"/>
      <c r="E2" s="142"/>
      <c r="F2" s="142"/>
      <c r="H2" s="202" t="s">
        <v>310</v>
      </c>
      <c r="I2" s="202"/>
      <c r="J2" s="202"/>
      <c r="K2" s="151"/>
    </row>
    <row r="3" spans="1:13" ht="15" customHeight="1" x14ac:dyDescent="0.2">
      <c r="A3" s="143" t="s">
        <v>254</v>
      </c>
      <c r="B3" s="516">
        <f>'Example - Summary'!B3:C3</f>
        <v>3218</v>
      </c>
      <c r="C3" s="516"/>
      <c r="D3" s="143"/>
      <c r="E3" s="144"/>
      <c r="F3" s="144"/>
      <c r="H3" s="137" t="s">
        <v>279</v>
      </c>
      <c r="I3" s="137"/>
      <c r="J3" s="137"/>
    </row>
    <row r="4" spans="1:13" ht="15" customHeight="1" x14ac:dyDescent="0.2">
      <c r="A4" s="143" t="s">
        <v>255</v>
      </c>
      <c r="B4" s="516" t="str">
        <f>'Example - Summary'!B4:C4</f>
        <v>PUBLIC HEALTH PREPAREDNESS PROGRAM</v>
      </c>
      <c r="C4" s="516"/>
      <c r="D4" s="143"/>
      <c r="E4" s="144"/>
      <c r="F4" s="144"/>
      <c r="H4" s="203" t="s">
        <v>319</v>
      </c>
      <c r="I4" s="203"/>
      <c r="J4" s="203"/>
    </row>
    <row r="5" spans="1:13" ht="15" customHeight="1" x14ac:dyDescent="0.2">
      <c r="A5" s="143" t="s">
        <v>256</v>
      </c>
      <c r="B5" s="152" t="s">
        <v>92</v>
      </c>
      <c r="C5" s="153"/>
      <c r="D5" s="143"/>
      <c r="E5" s="144"/>
      <c r="F5" s="144"/>
      <c r="H5" s="204" t="str">
        <f>'Dates-Rates'!B11&amp;" Calculated Values - Do Not Change"</f>
        <v>2020 Calculated Values - Do Not Change</v>
      </c>
      <c r="I5" s="205"/>
      <c r="J5" s="205"/>
    </row>
    <row r="6" spans="1:13" ht="15" customHeight="1" x14ac:dyDescent="0.2">
      <c r="A6" s="143" t="s">
        <v>338</v>
      </c>
      <c r="B6" s="154"/>
      <c r="C6" s="153"/>
      <c r="D6" s="143"/>
      <c r="E6" s="144"/>
      <c r="F6" s="144"/>
      <c r="H6" s="206" t="str">
        <f>'Dates-Rates'!B12&amp;" Calculated Values - Do Not Change"</f>
        <v>2021 Calculated Values - Do Not Change</v>
      </c>
      <c r="I6" s="207"/>
      <c r="J6" s="207"/>
    </row>
    <row r="7" spans="1:13" ht="15" customHeight="1" thickBot="1" x14ac:dyDescent="0.25">
      <c r="A7" s="143"/>
      <c r="B7" s="155"/>
      <c r="C7" s="143"/>
      <c r="D7" s="143"/>
      <c r="E7" s="156"/>
      <c r="F7" s="156"/>
    </row>
    <row r="8" spans="1:13" ht="15" customHeight="1" thickBot="1" x14ac:dyDescent="0.25">
      <c r="A8" s="157" t="s">
        <v>276</v>
      </c>
      <c r="B8" s="158">
        <v>2</v>
      </c>
      <c r="C8" s="504" t="s">
        <v>18</v>
      </c>
      <c r="D8" s="505"/>
      <c r="E8" s="111" t="str">
        <f>"SFY "&amp;'Dates-Rates'!$B$11</f>
        <v>SFY 2020</v>
      </c>
      <c r="F8" s="112" t="str">
        <f>"SFY "&amp;'Dates-Rates'!$B$12</f>
        <v>SFY 2021</v>
      </c>
      <c r="J8" s="146"/>
    </row>
    <row r="9" spans="1:13" ht="15" customHeight="1" x14ac:dyDescent="0.2">
      <c r="A9" s="194" t="s">
        <v>277</v>
      </c>
      <c r="B9" s="138">
        <f>'Example - Summary'!B8</f>
        <v>16</v>
      </c>
      <c r="C9" s="517" t="s">
        <v>290</v>
      </c>
      <c r="D9" s="518"/>
      <c r="E9" s="196">
        <f>SUM(N29:O29)</f>
        <v>71645</v>
      </c>
      <c r="F9" s="197">
        <f>SUM(P29:Q29)</f>
        <v>164411</v>
      </c>
      <c r="K9" s="159"/>
      <c r="M9" s="160"/>
    </row>
    <row r="10" spans="1:13" ht="15" customHeight="1" x14ac:dyDescent="0.2">
      <c r="A10" s="195" t="s">
        <v>278</v>
      </c>
      <c r="B10" s="138">
        <f>'Example - Summary'!B9</f>
        <v>11</v>
      </c>
      <c r="C10" s="506" t="s">
        <v>378</v>
      </c>
      <c r="D10" s="519"/>
      <c r="E10" s="198">
        <f>I39</f>
        <v>2918.931818181818</v>
      </c>
      <c r="F10" s="199">
        <f>K39</f>
        <v>3891.909090909091</v>
      </c>
      <c r="K10" s="159"/>
      <c r="M10" s="160"/>
    </row>
    <row r="11" spans="1:13" ht="15" customHeight="1" x14ac:dyDescent="0.2">
      <c r="C11" s="506" t="s">
        <v>291</v>
      </c>
      <c r="D11" s="519"/>
      <c r="E11" s="198">
        <f>H64+G76</f>
        <v>3268.1731250000003</v>
      </c>
      <c r="F11" s="199">
        <f>I64+J76</f>
        <v>8765.8149999999987</v>
      </c>
      <c r="I11" s="146"/>
      <c r="K11" s="159"/>
      <c r="M11" s="160"/>
    </row>
    <row r="12" spans="1:13" ht="15" customHeight="1" x14ac:dyDescent="0.2">
      <c r="C12" s="506" t="s">
        <v>295</v>
      </c>
      <c r="D12" s="519"/>
      <c r="E12" s="198">
        <f>H85</f>
        <v>2383</v>
      </c>
      <c r="F12" s="199">
        <f>I85</f>
        <v>2383</v>
      </c>
      <c r="I12" s="146"/>
    </row>
    <row r="13" spans="1:13" ht="15" customHeight="1" x14ac:dyDescent="0.2">
      <c r="C13" s="506" t="s">
        <v>293</v>
      </c>
      <c r="D13" s="519"/>
      <c r="E13" s="198">
        <f>H100+H113</f>
        <v>2150</v>
      </c>
      <c r="F13" s="199">
        <f>I100+I113</f>
        <v>2633.1800000000003</v>
      </c>
      <c r="I13" s="146"/>
    </row>
    <row r="14" spans="1:13" ht="15" customHeight="1" x14ac:dyDescent="0.2">
      <c r="C14" s="506" t="s">
        <v>484</v>
      </c>
      <c r="D14" s="519"/>
      <c r="E14" s="198">
        <f>H119</f>
        <v>7083.4</v>
      </c>
      <c r="F14" s="199">
        <f>I119</f>
        <v>15659.3</v>
      </c>
      <c r="I14" s="146"/>
    </row>
    <row r="15" spans="1:13" ht="15" customHeight="1" thickBot="1" x14ac:dyDescent="0.25">
      <c r="C15" s="493" t="s">
        <v>44</v>
      </c>
      <c r="D15" s="514"/>
      <c r="E15" s="114">
        <f>SUM(E9:E14)</f>
        <v>89448.504943181819</v>
      </c>
      <c r="F15" s="115">
        <f>SUM(F9:F14)</f>
        <v>197744.20409090907</v>
      </c>
      <c r="I15" s="146"/>
    </row>
    <row r="16" spans="1:13" ht="15" customHeight="1" thickTop="1" x14ac:dyDescent="0.2">
      <c r="C16" s="148"/>
      <c r="D16" s="148"/>
      <c r="E16" s="161"/>
      <c r="F16" s="161"/>
      <c r="G16" s="161"/>
      <c r="K16" s="146"/>
    </row>
    <row r="17" spans="1:26" ht="16.5" customHeight="1" x14ac:dyDescent="0.2">
      <c r="A17" s="149"/>
      <c r="N17" s="162"/>
      <c r="O17" s="162"/>
      <c r="T17" s="163"/>
    </row>
    <row r="18" spans="1:26" ht="13.5" customHeight="1" x14ac:dyDescent="0.25">
      <c r="A18" s="239" t="s">
        <v>317</v>
      </c>
      <c r="B18" s="239"/>
      <c r="C18" s="239"/>
      <c r="D18" s="239"/>
      <c r="E18" s="239"/>
      <c r="F18" s="239"/>
      <c r="G18" s="240"/>
      <c r="H18" s="240"/>
      <c r="I18" s="240"/>
      <c r="J18" s="240"/>
      <c r="K18" s="240"/>
      <c r="L18" s="208" t="str">
        <f>$E$8</f>
        <v>SFY 2020</v>
      </c>
      <c r="M18" s="209" t="str">
        <f>$F$8</f>
        <v>SFY 2021</v>
      </c>
      <c r="N18" s="208" t="str">
        <f t="shared" ref="N18:O18" si="0">$E$8</f>
        <v>SFY 2020</v>
      </c>
      <c r="O18" s="208" t="str">
        <f t="shared" si="0"/>
        <v>SFY 2020</v>
      </c>
      <c r="P18" s="209" t="str">
        <f t="shared" ref="P18:Q18" si="1">$F$8</f>
        <v>SFY 2021</v>
      </c>
      <c r="Q18" s="209" t="str">
        <f t="shared" si="1"/>
        <v>SFY 2021</v>
      </c>
      <c r="R18" s="522"/>
      <c r="Z18" s="163"/>
    </row>
    <row r="19" spans="1:26" ht="88.95" customHeight="1" x14ac:dyDescent="0.25">
      <c r="A19" s="241" t="s">
        <v>331</v>
      </c>
      <c r="B19" s="241" t="s">
        <v>253</v>
      </c>
      <c r="C19" s="241" t="s">
        <v>51</v>
      </c>
      <c r="D19" s="241" t="s">
        <v>32</v>
      </c>
      <c r="E19" s="241" t="s">
        <v>15</v>
      </c>
      <c r="F19" s="241" t="s">
        <v>289</v>
      </c>
      <c r="G19" s="242" t="str">
        <f>"START
DATE
"&amp;
"Yr1 = "&amp;TEXT('Dates-Rates'!B14,"mm/d/yyyy")&amp;" or later
"&amp;
"Yr2 = "&amp;TEXT('Dates-Rates'!B15,"mm/d/yyyy")&amp;" or later"</f>
        <v>START
DATE
Yr1 = 10/1/2019 or later
Yr2 = 07/1/2020 or later</v>
      </c>
      <c r="H19" s="242" t="s">
        <v>86</v>
      </c>
      <c r="I19" s="242" t="s">
        <v>29</v>
      </c>
      <c r="J19" s="242" t="s">
        <v>24</v>
      </c>
      <c r="K19" s="242" t="s">
        <v>36</v>
      </c>
      <c r="L19" s="210" t="s">
        <v>334</v>
      </c>
      <c r="M19" s="209" t="s">
        <v>334</v>
      </c>
      <c r="N19" s="211" t="s">
        <v>374</v>
      </c>
      <c r="O19" s="211" t="s">
        <v>375</v>
      </c>
      <c r="P19" s="212" t="s">
        <v>376</v>
      </c>
      <c r="Q19" s="212" t="s">
        <v>377</v>
      </c>
      <c r="R19" s="522"/>
      <c r="V19" s="164"/>
      <c r="W19" s="164"/>
      <c r="X19" s="164"/>
    </row>
    <row r="20" spans="1:26" ht="25.5" x14ac:dyDescent="0.2">
      <c r="A20" s="20" t="s">
        <v>48</v>
      </c>
      <c r="B20" s="116" t="s">
        <v>90</v>
      </c>
      <c r="C20" s="116" t="s">
        <v>77</v>
      </c>
      <c r="D20" s="117" t="s">
        <v>49</v>
      </c>
      <c r="E20" s="117" t="s">
        <v>485</v>
      </c>
      <c r="F20" s="117">
        <v>1</v>
      </c>
      <c r="G20" s="91">
        <v>43739</v>
      </c>
      <c r="H20" s="128" t="s">
        <v>82</v>
      </c>
      <c r="I20" s="123" t="s">
        <v>33</v>
      </c>
      <c r="J20" s="123" t="s">
        <v>25</v>
      </c>
      <c r="K20" s="123" t="s">
        <v>25</v>
      </c>
      <c r="L20" s="213">
        <f>IF($G20&gt;='Dates-Rates'!$B$4,IF($G20&lt;'Dates-Rates'!B$5,(ROUND((('Dates-Rates'!B$5-$G20)/30.4),0)*$F20),0),"")</f>
        <v>9</v>
      </c>
      <c r="M20" s="214">
        <f>IF($G20&gt;='Dates-Rates'!$B$4,IF($G20&lt;='Dates-Rates'!B$6,(ROUND((('Dates-Rates'!B$6-'Dates-Rates'!B$4)/30.4),0)*$F20),(ROUND((('Dates-Rates'!B$8-G20)/30.4),0)*F20)),"")</f>
        <v>12</v>
      </c>
      <c r="N20" s="368">
        <f>IF($B20&gt;"",SUMIFS('Example - NEBS 130 Download'!S:S,'Example - NEBS 130 Download'!$E:$E,$B20, 'Example - NEBS 130 Download'!$K:$K,$G20),"")</f>
        <v>53124</v>
      </c>
      <c r="O20" s="368">
        <f>IF($B20&gt;"",SUMIFS('Example - NEBS 130 Download'!T:T,'Example - NEBS 130 Download'!$E:$E,$B20, 'Example - NEBS 130 Download'!$K:$K,$G20),"")</f>
        <v>18172</v>
      </c>
      <c r="P20" s="216">
        <f>IF($B20&gt;"",SUMIFS('Example - NEBS 130 Download'!U:U,'Example - NEBS 130 Download'!$E:$E,$B20, 'Example - NEBS 130 Download'!$K:$K,$G20),"")</f>
        <v>73427</v>
      </c>
      <c r="Q20" s="216">
        <f>IF($B20&gt;"",SUMIFS('Example - NEBS 130 Download'!V:V,'Example - NEBS 130 Download'!$E:$E,$B20, 'Example - NEBS 130 Download'!$K:$K,$G20),"")</f>
        <v>23791</v>
      </c>
      <c r="R20" s="165"/>
      <c r="U20" s="163"/>
      <c r="V20" s="163"/>
      <c r="W20" s="163"/>
      <c r="X20" s="163"/>
    </row>
    <row r="21" spans="1:26" ht="25.5" x14ac:dyDescent="0.2">
      <c r="A21" s="21" t="s">
        <v>50</v>
      </c>
      <c r="B21" s="120" t="s">
        <v>491</v>
      </c>
      <c r="C21" s="118" t="s">
        <v>78</v>
      </c>
      <c r="D21" s="119" t="s">
        <v>49</v>
      </c>
      <c r="E21" s="119" t="s">
        <v>486</v>
      </c>
      <c r="F21" s="119">
        <v>1</v>
      </c>
      <c r="G21" s="91">
        <v>44013</v>
      </c>
      <c r="H21" s="129" t="s">
        <v>88</v>
      </c>
      <c r="I21" s="124" t="s">
        <v>33</v>
      </c>
      <c r="J21" s="124" t="s">
        <v>26</v>
      </c>
      <c r="K21" s="124" t="s">
        <v>26</v>
      </c>
      <c r="L21" s="213">
        <f>IF($G21&gt;='Dates-Rates'!$B$4,IF($G21&lt;'Dates-Rates'!B$5,(ROUND((('Dates-Rates'!B$5-$G21)/30.4),0)*$F21),0),"")</f>
        <v>0</v>
      </c>
      <c r="M21" s="214">
        <f>IF($G21&gt;='Dates-Rates'!$B$4,IF($G21&lt;='Dates-Rates'!B$6,(ROUND((('Dates-Rates'!B$6-'Dates-Rates'!B$4)/30.4),0)*$F21),(ROUND((('Dates-Rates'!B$8-G21)/30.4),0)*F21)),"")</f>
        <v>12</v>
      </c>
      <c r="N21" s="368">
        <f>IF($B21&gt;"",SUMIFS('Example - NEBS 130 Download'!S:S,'Example - NEBS 130 Download'!$E:$E,$B21, 'Example - NEBS 130 Download'!$K:$K,$G21),"")</f>
        <v>0</v>
      </c>
      <c r="O21" s="368">
        <f>IF($B21&gt;"",SUMIFS('Example - NEBS 130 Download'!T:T,'Example - NEBS 130 Download'!$E:$E,$B21, 'Example - NEBS 130 Download'!$K:$K,$G21),"")</f>
        <v>349</v>
      </c>
      <c r="P21" s="216">
        <f>IF($B21&gt;"",SUMIFS('Example - NEBS 130 Download'!U:U,'Example - NEBS 130 Download'!$E:$E,$B21, 'Example - NEBS 130 Download'!$K:$K,$G21),"")</f>
        <v>47894</v>
      </c>
      <c r="Q21" s="216">
        <f>IF($B21&gt;"",SUMIFS('Example - NEBS 130 Download'!V:V,'Example - NEBS 130 Download'!$E:$E,$B21, 'Example - NEBS 130 Download'!$K:$K,$G21),"")</f>
        <v>19299</v>
      </c>
      <c r="R21" s="165"/>
      <c r="U21" s="163"/>
      <c r="W21" s="166"/>
      <c r="X21" s="167"/>
    </row>
    <row r="22" spans="1:26" ht="12" customHeight="1" x14ac:dyDescent="0.2">
      <c r="A22" s="97"/>
      <c r="B22" s="118"/>
      <c r="C22" s="118"/>
      <c r="D22" s="119"/>
      <c r="E22" s="139"/>
      <c r="F22" s="119"/>
      <c r="G22" s="91"/>
      <c r="H22" s="129"/>
      <c r="I22" s="124"/>
      <c r="J22" s="124"/>
      <c r="K22" s="124"/>
      <c r="L22" s="213" t="str">
        <f>IF($G22&gt;='Dates-Rates'!$B$4,IF($G22&lt;'Dates-Rates'!B$5,(ROUND((('Dates-Rates'!B$5-$G22)/30.4),0)*$F22),0),"")</f>
        <v/>
      </c>
      <c r="M22" s="214" t="str">
        <f>IF($G22&gt;='Dates-Rates'!$B$4,IF($G22&lt;'Dates-Rates'!B$6,(ROUND((('Dates-Rates'!B$6-'Dates-Rates'!B$4)/30.4),0)*$F22),(ROUND((('Dates-Rates'!B$8-G22)/30.4),0)*F22)),"")</f>
        <v/>
      </c>
      <c r="N22" s="215" t="str">
        <f>IF($B22&gt;"",SUMIFS('Example - NEBS 130 Download'!S:S,'Example - NEBS 130 Download'!$E:$E,$B22, 'Example - NEBS 130 Download'!$K:$K,$G22),"")</f>
        <v/>
      </c>
      <c r="O22" s="215" t="str">
        <f>IF($B22&gt;"",SUMIFS('Example - NEBS 130 Download'!T:T,'Example - NEBS 130 Download'!$E:$E,$B22, 'Example - NEBS 130 Download'!$K:$K,$G22),"")</f>
        <v/>
      </c>
      <c r="P22" s="217" t="str">
        <f>IF($B22&gt;"",SUMIFS('Example - NEBS 130 Download'!U:U,'Example - NEBS 130 Download'!$E:$E,$B22, 'Example - NEBS 130 Download'!$K:$K,$G22),"")</f>
        <v/>
      </c>
      <c r="Q22" s="217" t="str">
        <f>IF($B22&gt;"",SUMIFS('Example - NEBS 130 Download'!V:V,'Example - NEBS 130 Download'!$E:$E,$B22, 'Example - NEBS 130 Download'!$K:$K,$G22),"")</f>
        <v/>
      </c>
      <c r="R22" s="165"/>
      <c r="U22" s="163"/>
      <c r="W22" s="166"/>
      <c r="X22" s="167"/>
    </row>
    <row r="23" spans="1:26" ht="12" customHeight="1" x14ac:dyDescent="0.2">
      <c r="A23" s="97"/>
      <c r="B23" s="118"/>
      <c r="C23" s="118"/>
      <c r="D23" s="119"/>
      <c r="E23" s="139"/>
      <c r="F23" s="119"/>
      <c r="G23" s="91"/>
      <c r="H23" s="129"/>
      <c r="I23" s="124"/>
      <c r="J23" s="124"/>
      <c r="K23" s="124"/>
      <c r="L23" s="213" t="str">
        <f>IF($G23&gt;='Dates-Rates'!$B$4,IF($G23&lt;'Dates-Rates'!B$5,(ROUND((('Dates-Rates'!B$5-$G23)/30.4),0)*$F23),0),"")</f>
        <v/>
      </c>
      <c r="M23" s="214" t="str">
        <f>IF($G23&gt;='Dates-Rates'!$B$4,IF($G23&lt;'Dates-Rates'!B$6,(ROUND((('Dates-Rates'!B$6-'Dates-Rates'!B$4)/30.4),0)*$F23),(ROUND((('Dates-Rates'!B$8-G23)/30.4),0)*F23)),"")</f>
        <v/>
      </c>
      <c r="N23" s="215" t="str">
        <f>IF($B23&gt;"",SUMIFS('Example - NEBS 130 Download'!S:S,'Example - NEBS 130 Download'!$E:$E,$B23, 'Example - NEBS 130 Download'!$K:$K,$G23),"")</f>
        <v/>
      </c>
      <c r="O23" s="215" t="str">
        <f>IF($B23&gt;"",SUMIFS('Example - NEBS 130 Download'!T:T,'Example - NEBS 130 Download'!$E:$E,$B23, 'Example - NEBS 130 Download'!$K:$K,$G23),"")</f>
        <v/>
      </c>
      <c r="P23" s="217" t="str">
        <f>IF($B23&gt;"",SUMIFS('Example - NEBS 130 Download'!U:U,'Example - NEBS 130 Download'!$E:$E,$B23, 'Example - NEBS 130 Download'!$K:$K,$G23),"")</f>
        <v/>
      </c>
      <c r="Q23" s="217" t="str">
        <f>IF($B23&gt;"",SUMIFS('Example - NEBS 130 Download'!V:V,'Example - NEBS 130 Download'!$E:$E,$B23, 'Example - NEBS 130 Download'!$K:$K,$G23),"")</f>
        <v/>
      </c>
      <c r="R23" s="165"/>
      <c r="U23" s="163"/>
      <c r="W23" s="166"/>
      <c r="X23" s="167"/>
    </row>
    <row r="24" spans="1:26" ht="12" customHeight="1" x14ac:dyDescent="0.2">
      <c r="A24" s="97"/>
      <c r="B24" s="118"/>
      <c r="C24" s="118"/>
      <c r="D24" s="119"/>
      <c r="E24" s="139"/>
      <c r="F24" s="119"/>
      <c r="G24" s="91"/>
      <c r="H24" s="129"/>
      <c r="I24" s="124"/>
      <c r="J24" s="124"/>
      <c r="K24" s="124"/>
      <c r="L24" s="213" t="str">
        <f>IF($G24&gt;='Dates-Rates'!$B$4,IF($G24&lt;'Dates-Rates'!B$5,(ROUND((('Dates-Rates'!B$5-$G24)/30.4),0)*$F24),0),"")</f>
        <v/>
      </c>
      <c r="M24" s="214" t="str">
        <f>IF($G24&gt;='Dates-Rates'!$B$4,IF($G24&lt;'Dates-Rates'!B$6,(ROUND((('Dates-Rates'!B$6-'Dates-Rates'!B$4)/30.4),0)*$F24),(ROUND((('Dates-Rates'!B$8-G24)/30.4),0)*F24)),"")</f>
        <v/>
      </c>
      <c r="N24" s="215" t="str">
        <f>IF($B24&gt;"",SUMIFS('Example - NEBS 130 Download'!S:S,'Example - NEBS 130 Download'!$E:$E,$B24, 'Example - NEBS 130 Download'!$K:$K,$G24),"")</f>
        <v/>
      </c>
      <c r="O24" s="215" t="str">
        <f>IF($B24&gt;"",SUMIFS('Example - NEBS 130 Download'!T:T,'Example - NEBS 130 Download'!$E:$E,$B24, 'Example - NEBS 130 Download'!$K:$K,$G24),"")</f>
        <v/>
      </c>
      <c r="P24" s="217" t="str">
        <f>IF($B24&gt;"",SUMIFS('Example - NEBS 130 Download'!U:U,'Example - NEBS 130 Download'!$E:$E,$B24, 'Example - NEBS 130 Download'!$K:$K,$G24),"")</f>
        <v/>
      </c>
      <c r="Q24" s="217" t="str">
        <f>IF($B24&gt;"",SUMIFS('Example - NEBS 130 Download'!V:V,'Example - NEBS 130 Download'!$E:$E,$B24, 'Example - NEBS 130 Download'!$K:$K,$G24),"")</f>
        <v/>
      </c>
      <c r="R24" s="165"/>
    </row>
    <row r="25" spans="1:26" ht="12" customHeight="1" x14ac:dyDescent="0.2">
      <c r="A25" s="97"/>
      <c r="B25" s="118"/>
      <c r="C25" s="118"/>
      <c r="D25" s="119"/>
      <c r="E25" s="139"/>
      <c r="F25" s="119"/>
      <c r="G25" s="91"/>
      <c r="H25" s="129"/>
      <c r="I25" s="124"/>
      <c r="J25" s="124"/>
      <c r="K25" s="124"/>
      <c r="L25" s="213" t="str">
        <f>IF($G25&gt;='Dates-Rates'!$B$4,IF($G25&lt;'Dates-Rates'!B$5,(ROUND((('Dates-Rates'!B$5-$G25)/30.4),0)*$F25),0),"")</f>
        <v/>
      </c>
      <c r="M25" s="214" t="str">
        <f>IF($G25&gt;='Dates-Rates'!$B$4,IF($G25&lt;'Dates-Rates'!B$6,(ROUND((('Dates-Rates'!B$6-'Dates-Rates'!B$4)/30.4),0)*$F25),(ROUND((('Dates-Rates'!B$8-G25)/30.4),0)*F25)),"")</f>
        <v/>
      </c>
      <c r="N25" s="215" t="str">
        <f>IF($B25&gt;"",SUMIFS('Example - NEBS 130 Download'!S:S,'Example - NEBS 130 Download'!$E:$E,$B25, 'Example - NEBS 130 Download'!$K:$K,$G25),"")</f>
        <v/>
      </c>
      <c r="O25" s="215" t="str">
        <f>IF($B25&gt;"",SUMIFS('Example - NEBS 130 Download'!T:T,'Example - NEBS 130 Download'!$E:$E,$B25, 'Example - NEBS 130 Download'!$K:$K,$G25),"")</f>
        <v/>
      </c>
      <c r="P25" s="217" t="str">
        <f>IF($B25&gt;"",SUMIFS('Example - NEBS 130 Download'!U:U,'Example - NEBS 130 Download'!$E:$E,$B25, 'Example - NEBS 130 Download'!$K:$K,$G25),"")</f>
        <v/>
      </c>
      <c r="Q25" s="217" t="str">
        <f>IF($B25&gt;"",SUMIFS('Example - NEBS 130 Download'!V:V,'Example - NEBS 130 Download'!$E:$E,$B25, 'Example - NEBS 130 Download'!$K:$K,$G25),"")</f>
        <v/>
      </c>
      <c r="R25" s="165"/>
    </row>
    <row r="26" spans="1:26" ht="12" customHeight="1" x14ac:dyDescent="0.2">
      <c r="A26" s="93"/>
      <c r="B26" s="120"/>
      <c r="C26" s="120"/>
      <c r="D26" s="121"/>
      <c r="E26" s="140"/>
      <c r="F26" s="121"/>
      <c r="G26" s="91"/>
      <c r="H26" s="130"/>
      <c r="I26" s="125"/>
      <c r="J26" s="125"/>
      <c r="K26" s="125"/>
      <c r="L26" s="213" t="str">
        <f>IF($G26&gt;='Dates-Rates'!$B$4,IF($G26&lt;'Dates-Rates'!B$5,(ROUND((('Dates-Rates'!B$5-$G26)/30.4),0)*$F26),0),"")</f>
        <v/>
      </c>
      <c r="M26" s="214" t="str">
        <f>IF($G26&gt;='Dates-Rates'!$B$4,IF($G26&lt;'Dates-Rates'!B$6,(ROUND((('Dates-Rates'!B$6-'Dates-Rates'!B$4)/30.4),0)*$F26),(ROUND((('Dates-Rates'!B$8-G26)/30.4),0)*F26)),"")</f>
        <v/>
      </c>
      <c r="N26" s="215" t="str">
        <f>IF($B26&gt;"",SUMIFS('Example - NEBS 130 Download'!S:S,'Example - NEBS 130 Download'!$E:$E,$B26, 'Example - NEBS 130 Download'!$K:$K,$G26),"")</f>
        <v/>
      </c>
      <c r="O26" s="215" t="str">
        <f>IF($B26&gt;"",SUMIFS('Example - NEBS 130 Download'!T:T,'Example - NEBS 130 Download'!$E:$E,$B26, 'Example - NEBS 130 Download'!$K:$K,$G26),"")</f>
        <v/>
      </c>
      <c r="P26" s="217" t="str">
        <f>IF($B26&gt;"",SUMIFS('Example - NEBS 130 Download'!U:U,'Example - NEBS 130 Download'!$E:$E,$B26, 'Example - NEBS 130 Download'!$K:$K,$G26),"")</f>
        <v/>
      </c>
      <c r="Q26" s="217" t="str">
        <f>IF($B26&gt;"",SUMIFS('Example - NEBS 130 Download'!V:V,'Example - NEBS 130 Download'!$E:$E,$B26, 'Example - NEBS 130 Download'!$K:$K,$G26),"")</f>
        <v/>
      </c>
      <c r="R26" s="165"/>
    </row>
    <row r="27" spans="1:26" ht="12" customHeight="1" x14ac:dyDescent="0.2">
      <c r="A27" s="93"/>
      <c r="B27" s="120"/>
      <c r="C27" s="127"/>
      <c r="D27" s="122"/>
      <c r="E27" s="141"/>
      <c r="F27" s="122"/>
      <c r="G27" s="91"/>
      <c r="H27" s="131"/>
      <c r="I27" s="126"/>
      <c r="J27" s="126"/>
      <c r="K27" s="126"/>
      <c r="L27" s="218" t="str">
        <f>IF($G27&gt;='Dates-Rates'!$B$4,IF($G27&lt;'Dates-Rates'!B$5,(ROUND((('Dates-Rates'!B$5-$G27)/30.4),0)*$F27),0),"")</f>
        <v/>
      </c>
      <c r="M27" s="219" t="str">
        <f>IF($G27&gt;='Dates-Rates'!$B$4,IF($G27&lt;'Dates-Rates'!B$6,(ROUND((('Dates-Rates'!B$6-'Dates-Rates'!B$4)/30.4),0)*$F27),(ROUND((('Dates-Rates'!B$8-G27)/30.4),0)*F27)),"")</f>
        <v/>
      </c>
      <c r="N27" s="220" t="str">
        <f>IF($B27&gt;"",SUMIFS('Example - NEBS 130 Download'!S:S,'Example - NEBS 130 Download'!$E:$E,$B27, 'Example - NEBS 130 Download'!$K:$K,$G27),"")</f>
        <v/>
      </c>
      <c r="O27" s="220" t="str">
        <f>IF($B27&gt;"",SUMIFS('Example - NEBS 130 Download'!T:T,'Example - NEBS 130 Download'!$E:$E,$B27, 'Example - NEBS 130 Download'!$K:$K,$G27),"")</f>
        <v/>
      </c>
      <c r="P27" s="221" t="str">
        <f>IF($B27&gt;"",SUMIFS('Example - NEBS 130 Download'!U:U,'Example - NEBS 130 Download'!$E:$E,$B27, 'Example - NEBS 130 Download'!$K:$K,$G27),"")</f>
        <v/>
      </c>
      <c r="Q27" s="221" t="str">
        <f>IF($B27&gt;"",SUMIFS('Example - NEBS 130 Download'!V:V,'Example - NEBS 130 Download'!$E:$E,$B27, 'Example - NEBS 130 Download'!$K:$K,$G27),"")</f>
        <v/>
      </c>
      <c r="R27" s="165"/>
    </row>
    <row r="28" spans="1:26" ht="12" customHeight="1" x14ac:dyDescent="0.2">
      <c r="A28" s="235" t="s">
        <v>14</v>
      </c>
      <c r="B28" s="236"/>
      <c r="C28" s="237"/>
      <c r="D28" s="230"/>
      <c r="E28" s="231"/>
      <c r="F28" s="232">
        <f>SUM(F20:F27)</f>
        <v>2</v>
      </c>
      <c r="G28" s="231"/>
      <c r="H28" s="231"/>
      <c r="I28" s="231"/>
      <c r="J28" s="233">
        <f>SUMIF(J20:J27,"yes",F20:F27)</f>
        <v>1</v>
      </c>
      <c r="K28" s="231"/>
      <c r="L28" s="222"/>
      <c r="M28" s="223"/>
      <c r="N28" s="224"/>
      <c r="O28" s="224"/>
      <c r="P28" s="225"/>
      <c r="Q28" s="225"/>
    </row>
    <row r="29" spans="1:26" ht="13.5" thickBot="1" x14ac:dyDescent="0.25">
      <c r="A29" s="481" t="s">
        <v>296</v>
      </c>
      <c r="B29" s="482"/>
      <c r="C29" s="238"/>
      <c r="D29" s="234"/>
      <c r="E29" s="234"/>
      <c r="F29" s="234"/>
      <c r="G29" s="234"/>
      <c r="H29" s="234"/>
      <c r="I29" s="234"/>
      <c r="J29" s="234"/>
      <c r="K29" s="234"/>
      <c r="L29" s="226">
        <f>SUM(L20:L27)</f>
        <v>9</v>
      </c>
      <c r="M29" s="227">
        <f>SUM(M20:M27)</f>
        <v>24</v>
      </c>
      <c r="N29" s="228">
        <f>SUM(N20:N28)</f>
        <v>53124</v>
      </c>
      <c r="O29" s="228">
        <f>SUM(O20:O28)</f>
        <v>18521</v>
      </c>
      <c r="P29" s="229">
        <f>SUM(P20:P28)</f>
        <v>121321</v>
      </c>
      <c r="Q29" s="229">
        <f>SUM(Q20:Q28)</f>
        <v>43090</v>
      </c>
    </row>
    <row r="30" spans="1:26" s="163" customFormat="1" ht="14.1" customHeight="1" thickTop="1" x14ac:dyDescent="0.2">
      <c r="A30" s="169"/>
      <c r="B30" s="170"/>
      <c r="C30" s="171"/>
      <c r="D30" s="172"/>
      <c r="E30" s="173"/>
      <c r="F30" s="173"/>
      <c r="G30" s="173"/>
      <c r="H30" s="173"/>
      <c r="I30" s="173"/>
      <c r="J30" s="173"/>
      <c r="K30" s="173"/>
      <c r="L30" s="174"/>
      <c r="N30" s="145"/>
      <c r="O30" s="145"/>
      <c r="P30" s="145"/>
      <c r="U30" s="145"/>
      <c r="V30" s="145"/>
      <c r="W30" s="145"/>
      <c r="X30" s="145"/>
    </row>
    <row r="31" spans="1:26" s="163" customFormat="1" ht="14.1" customHeight="1" x14ac:dyDescent="0.25">
      <c r="A31" s="169"/>
      <c r="B31" s="170"/>
      <c r="C31" s="171"/>
      <c r="D31" s="172"/>
      <c r="E31" s="173"/>
      <c r="F31" s="173"/>
      <c r="G31" s="173"/>
      <c r="H31" s="173"/>
      <c r="I31" s="173"/>
      <c r="J31" s="173"/>
      <c r="K31" s="173"/>
      <c r="L31" s="174"/>
      <c r="N31" s="145"/>
      <c r="O31" s="145"/>
      <c r="P31" s="145"/>
      <c r="U31" s="145"/>
      <c r="V31" s="145"/>
      <c r="W31" s="145"/>
      <c r="X31" s="145"/>
    </row>
    <row r="32" spans="1:26" ht="13.2" customHeight="1" x14ac:dyDescent="0.3">
      <c r="A32" s="243" t="s">
        <v>479</v>
      </c>
      <c r="B32" s="244"/>
      <c r="C32" s="244"/>
      <c r="D32" s="245"/>
      <c r="E32" s="245"/>
      <c r="F32" s="245"/>
      <c r="G32" s="246"/>
      <c r="H32" s="523" t="str">
        <f>E8</f>
        <v>SFY 2020</v>
      </c>
      <c r="I32" s="524"/>
      <c r="J32" s="525" t="str">
        <f>F8</f>
        <v>SFY 2021</v>
      </c>
      <c r="K32" s="526"/>
      <c r="P32" s="175"/>
      <c r="T32" s="163"/>
    </row>
    <row r="33" spans="1:24" ht="56.25" customHeight="1" x14ac:dyDescent="0.3">
      <c r="A33" s="241" t="s">
        <v>316</v>
      </c>
      <c r="B33" s="241" t="s">
        <v>315</v>
      </c>
      <c r="C33" s="242" t="s">
        <v>2</v>
      </c>
      <c r="D33" s="247" t="s">
        <v>83</v>
      </c>
      <c r="E33" s="241" t="s">
        <v>84</v>
      </c>
      <c r="F33" s="247" t="s">
        <v>85</v>
      </c>
      <c r="G33" s="241" t="s">
        <v>23</v>
      </c>
      <c r="H33" s="248" t="s">
        <v>27</v>
      </c>
      <c r="I33" s="248" t="s">
        <v>22</v>
      </c>
      <c r="J33" s="249" t="s">
        <v>27</v>
      </c>
      <c r="K33" s="249" t="s">
        <v>22</v>
      </c>
      <c r="N33" s="175"/>
      <c r="O33" s="175"/>
      <c r="T33" s="163"/>
    </row>
    <row r="34" spans="1:24" s="163" customFormat="1" ht="12" customHeight="1" x14ac:dyDescent="0.25">
      <c r="A34" s="484" t="s">
        <v>13</v>
      </c>
      <c r="B34" s="251">
        <v>6200</v>
      </c>
      <c r="C34" s="252" t="s">
        <v>52</v>
      </c>
      <c r="D34" s="253">
        <f>SUMIFS('Example - NEBS Actuals Download'!F:F,'Example - NEBS Actuals Download'!D:D,B34)</f>
        <v>17199</v>
      </c>
      <c r="E34" s="254">
        <f>IF(D34&gt;0.01,D34/12,0)</f>
        <v>1433.25</v>
      </c>
      <c r="F34" s="255">
        <f>$B$10</f>
        <v>11</v>
      </c>
      <c r="G34" s="254">
        <f>IF(D34&gt;0.01,E34/F34,0)</f>
        <v>130.29545454545453</v>
      </c>
      <c r="H34" s="256">
        <f>SUMIF(J20:J27,"yes",L20:L27)</f>
        <v>9</v>
      </c>
      <c r="I34" s="257">
        <f>IF(D34&gt;0.01,G34*H34,0)</f>
        <v>1172.6590909090908</v>
      </c>
      <c r="J34" s="258">
        <f>SUMIF(J20:J27,"yes",M20:M27)</f>
        <v>12</v>
      </c>
      <c r="K34" s="259">
        <f>IF(D34&gt;0.01,G34*J34,0)</f>
        <v>1563.5454545454545</v>
      </c>
      <c r="N34" s="145"/>
      <c r="O34" s="145"/>
      <c r="P34" s="145"/>
      <c r="U34" s="145"/>
      <c r="V34" s="145"/>
      <c r="W34" s="145"/>
      <c r="X34" s="145"/>
    </row>
    <row r="35" spans="1:24" s="163" customFormat="1" ht="12" customHeight="1" x14ac:dyDescent="0.25">
      <c r="A35" s="260" t="s">
        <v>13</v>
      </c>
      <c r="B35" s="261">
        <v>6210</v>
      </c>
      <c r="C35" s="262" t="s">
        <v>70</v>
      </c>
      <c r="D35" s="263">
        <f>SUMIFS('Example - NEBS Actuals Download'!F:F,'Example - NEBS Actuals Download'!D:D,B35)</f>
        <v>2247</v>
      </c>
      <c r="E35" s="264">
        <f t="shared" ref="E35:E38" si="2">IF(D35&gt;0.01,D35/12,0)</f>
        <v>187.25</v>
      </c>
      <c r="F35" s="265">
        <f>$B$10</f>
        <v>11</v>
      </c>
      <c r="G35" s="264">
        <f t="shared" ref="G35:G38" si="3">IF(D35&gt;0.01,E35/F35,0)</f>
        <v>17.022727272727273</v>
      </c>
      <c r="H35" s="266">
        <f>SUMIF(J20:J27,"yes",L20:L27)</f>
        <v>9</v>
      </c>
      <c r="I35" s="267">
        <f t="shared" ref="I35:I38" si="4">IF(D35&gt;0.01,G35*H35,0)</f>
        <v>153.20454545454547</v>
      </c>
      <c r="J35" s="268">
        <f>SUMIF(J20:J27,"yes",M20:M27)</f>
        <v>12</v>
      </c>
      <c r="K35" s="269">
        <f t="shared" ref="K35:K38" si="5">IF(D35&gt;0.01,G35*J35,0)</f>
        <v>204.27272727272728</v>
      </c>
      <c r="N35" s="145"/>
      <c r="O35" s="145"/>
      <c r="T35" s="145"/>
    </row>
    <row r="36" spans="1:24" s="163" customFormat="1" ht="12" customHeight="1" x14ac:dyDescent="0.25">
      <c r="A36" s="299" t="s">
        <v>13</v>
      </c>
      <c r="B36" s="261">
        <v>6215</v>
      </c>
      <c r="C36" s="262" t="s">
        <v>53</v>
      </c>
      <c r="D36" s="263">
        <f>SUMIFS('Example - NEBS Actuals Download'!F:F,'Example - NEBS Actuals Download'!D:D,B36)</f>
        <v>1683</v>
      </c>
      <c r="E36" s="264">
        <f t="shared" si="2"/>
        <v>140.25</v>
      </c>
      <c r="F36" s="265">
        <f>$B$10</f>
        <v>11</v>
      </c>
      <c r="G36" s="264">
        <f t="shared" si="3"/>
        <v>12.75</v>
      </c>
      <c r="H36" s="266">
        <f>SUMIF(J20:J27,"yes",L20:L27)</f>
        <v>9</v>
      </c>
      <c r="I36" s="267">
        <f t="shared" si="4"/>
        <v>114.75</v>
      </c>
      <c r="J36" s="268">
        <f>SUMIF(J20:J27,"yes",M20:M27)</f>
        <v>12</v>
      </c>
      <c r="K36" s="269">
        <f t="shared" si="5"/>
        <v>153</v>
      </c>
      <c r="T36" s="145"/>
    </row>
    <row r="37" spans="1:24" s="163" customFormat="1" ht="12" customHeight="1" x14ac:dyDescent="0.25">
      <c r="A37" s="260" t="s">
        <v>13</v>
      </c>
      <c r="B37" s="271">
        <v>6240</v>
      </c>
      <c r="C37" s="272" t="s">
        <v>54</v>
      </c>
      <c r="D37" s="263">
        <f>SUMIFS('Example - NEBS Actuals Download'!F:F,'Example - NEBS Actuals Download'!D:D,B37)</f>
        <v>7277</v>
      </c>
      <c r="E37" s="264">
        <f t="shared" si="2"/>
        <v>606.41666666666663</v>
      </c>
      <c r="F37" s="265">
        <f>$B$10</f>
        <v>11</v>
      </c>
      <c r="G37" s="264">
        <f t="shared" si="3"/>
        <v>55.128787878787875</v>
      </c>
      <c r="H37" s="266">
        <f>SUMIF(J20:J27,"yes",L20:L27)</f>
        <v>9</v>
      </c>
      <c r="I37" s="267">
        <f t="shared" si="4"/>
        <v>496.15909090909088</v>
      </c>
      <c r="J37" s="268">
        <f>SUMIF(J20:J27,"yes",M20:M27)</f>
        <v>12</v>
      </c>
      <c r="K37" s="269">
        <f t="shared" si="5"/>
        <v>661.5454545454545</v>
      </c>
      <c r="T37" s="145"/>
    </row>
    <row r="38" spans="1:24" s="163" customFormat="1" ht="12" customHeight="1" x14ac:dyDescent="0.25">
      <c r="A38" s="299" t="s">
        <v>13</v>
      </c>
      <c r="B38" s="274">
        <v>6250</v>
      </c>
      <c r="C38" s="275" t="s">
        <v>55</v>
      </c>
      <c r="D38" s="276">
        <f>SUMIFS('Example - NEBS Actuals Download'!F:F,'Example - NEBS Actuals Download'!D:D,B38)</f>
        <v>14405</v>
      </c>
      <c r="E38" s="264">
        <f t="shared" si="2"/>
        <v>1200.4166666666667</v>
      </c>
      <c r="F38" s="277">
        <f>$B$10</f>
        <v>11</v>
      </c>
      <c r="G38" s="264">
        <f t="shared" si="3"/>
        <v>109.12878787878789</v>
      </c>
      <c r="H38" s="266">
        <f>SUMIF(J20:J27,"yes",L20:L27)</f>
        <v>9</v>
      </c>
      <c r="I38" s="278">
        <f t="shared" si="4"/>
        <v>982.15909090909099</v>
      </c>
      <c r="J38" s="268">
        <f>SUMIF(J20:J27,"yes",M20:M27)</f>
        <v>12</v>
      </c>
      <c r="K38" s="279">
        <f t="shared" si="5"/>
        <v>1309.5454545454547</v>
      </c>
      <c r="T38" s="145"/>
    </row>
    <row r="39" spans="1:24" ht="12" customHeight="1" x14ac:dyDescent="0.25">
      <c r="A39" s="235" t="s">
        <v>298</v>
      </c>
      <c r="B39" s="237"/>
      <c r="C39" s="237"/>
      <c r="D39" s="280"/>
      <c r="E39" s="280"/>
      <c r="F39" s="280"/>
      <c r="G39" s="280"/>
      <c r="H39" s="281">
        <f>SUM(H34:H38)</f>
        <v>45</v>
      </c>
      <c r="I39" s="282">
        <f>SUM(I34:I38)</f>
        <v>2918.931818181818</v>
      </c>
      <c r="J39" s="283">
        <f>SUM(J34:J38)</f>
        <v>60</v>
      </c>
      <c r="K39" s="284">
        <f>SUM(K34:K38)</f>
        <v>3891.909090909091</v>
      </c>
      <c r="N39" s="163"/>
      <c r="O39" s="163"/>
      <c r="P39" s="163"/>
      <c r="U39" s="163"/>
      <c r="V39" s="163"/>
      <c r="W39" s="163"/>
      <c r="X39" s="163"/>
    </row>
    <row r="40" spans="1:24" ht="12" customHeight="1" x14ac:dyDescent="0.25">
      <c r="A40" s="176"/>
      <c r="B40" s="176"/>
      <c r="C40" s="176"/>
      <c r="D40" s="176"/>
      <c r="E40" s="176"/>
      <c r="F40" s="176"/>
      <c r="G40" s="176"/>
      <c r="H40" s="176"/>
      <c r="I40" s="177"/>
      <c r="J40" s="178"/>
      <c r="K40" s="178"/>
      <c r="N40" s="163"/>
      <c r="O40" s="163"/>
    </row>
    <row r="41" spans="1:24" ht="12" customHeight="1" x14ac:dyDescent="0.25">
      <c r="A41" s="176"/>
      <c r="B41" s="176"/>
      <c r="C41" s="176"/>
      <c r="D41" s="176"/>
      <c r="E41" s="176"/>
      <c r="F41" s="176"/>
      <c r="G41" s="176"/>
      <c r="H41" s="176"/>
      <c r="I41" s="177"/>
      <c r="J41" s="178"/>
      <c r="K41" s="178"/>
      <c r="N41" s="163"/>
      <c r="O41" s="163"/>
    </row>
    <row r="42" spans="1:24" ht="12.75" customHeight="1" x14ac:dyDescent="0.25">
      <c r="A42" s="476" t="s">
        <v>480</v>
      </c>
      <c r="B42" s="286"/>
      <c r="C42" s="286"/>
      <c r="D42" s="286"/>
      <c r="E42" s="286"/>
      <c r="F42" s="287"/>
      <c r="G42" s="288"/>
      <c r="H42" s="210" t="str">
        <f>E8</f>
        <v>SFY 2020</v>
      </c>
      <c r="I42" s="209" t="str">
        <f>F8</f>
        <v>SFY 2021</v>
      </c>
      <c r="J42" s="153"/>
      <c r="K42" s="153"/>
    </row>
    <row r="43" spans="1:24" ht="45.75" customHeight="1" x14ac:dyDescent="0.25">
      <c r="A43" s="289" t="s">
        <v>259</v>
      </c>
      <c r="B43" s="290"/>
      <c r="C43" s="290"/>
      <c r="D43" s="247" t="s">
        <v>261</v>
      </c>
      <c r="E43" s="241" t="s">
        <v>262</v>
      </c>
      <c r="F43" s="247" t="s">
        <v>263</v>
      </c>
      <c r="G43" s="247" t="s">
        <v>264</v>
      </c>
      <c r="H43" s="248" t="s">
        <v>22</v>
      </c>
      <c r="I43" s="249" t="s">
        <v>22</v>
      </c>
    </row>
    <row r="44" spans="1:24" ht="12" customHeight="1" x14ac:dyDescent="0.25">
      <c r="A44" s="241" t="s">
        <v>316</v>
      </c>
      <c r="B44" s="241" t="s">
        <v>315</v>
      </c>
      <c r="C44" s="242" t="s">
        <v>2</v>
      </c>
      <c r="D44" s="231"/>
      <c r="E44" s="231"/>
      <c r="F44" s="231"/>
      <c r="G44" s="293"/>
      <c r="H44" s="293"/>
      <c r="I44" s="294"/>
    </row>
    <row r="45" spans="1:24" ht="13.2" customHeight="1" x14ac:dyDescent="0.25">
      <c r="A45" s="250" t="s">
        <v>5</v>
      </c>
      <c r="B45" s="251">
        <v>7050</v>
      </c>
      <c r="C45" s="295" t="s">
        <v>257</v>
      </c>
      <c r="D45" s="95">
        <f>'Dates-Rates'!D21</f>
        <v>1.5</v>
      </c>
      <c r="E45" s="95">
        <f>'Dates-Rates'!E21</f>
        <v>1.5</v>
      </c>
      <c r="F45" s="255">
        <f>SUMIFS($F$20:$F$27,$G$20:$G$27,"&lt;"&amp;'Dates-Rates'!B6)</f>
        <v>1</v>
      </c>
      <c r="G45" s="255">
        <f>SUMIFS($F$20:$F$27,$G$20:$G$27,"&gt;="&amp;'Dates-Rates'!B6)+F45</f>
        <v>2</v>
      </c>
      <c r="H45" s="296">
        <f>$F45*$D45</f>
        <v>1.5</v>
      </c>
      <c r="I45" s="297">
        <f>$G45*$E45</f>
        <v>3</v>
      </c>
    </row>
    <row r="46" spans="1:24" ht="13.2" customHeight="1" x14ac:dyDescent="0.25">
      <c r="A46" s="260" t="s">
        <v>5</v>
      </c>
      <c r="B46" s="261">
        <v>7054</v>
      </c>
      <c r="C46" s="298" t="s">
        <v>258</v>
      </c>
      <c r="D46" s="96">
        <f>'Dates-Rates'!D22</f>
        <v>97.07</v>
      </c>
      <c r="E46" s="94">
        <f>'Dates-Rates'!E22</f>
        <v>97.07</v>
      </c>
      <c r="F46" s="265">
        <f>SUMIFS($F$20:$F$27,$G$20:$G$27,"&lt;"&amp;'Dates-Rates'!B6)</f>
        <v>1</v>
      </c>
      <c r="G46" s="265">
        <f>SUMIFS($F$20:$F$27,$G$20:$G$27,"&gt;="&amp;'Dates-Rates'!B6)+F46</f>
        <v>2</v>
      </c>
      <c r="H46" s="296">
        <f>$F46*$D46</f>
        <v>97.07</v>
      </c>
      <c r="I46" s="297">
        <f>$G46*$E46</f>
        <v>194.14</v>
      </c>
    </row>
    <row r="47" spans="1:24" ht="59.25" customHeight="1" x14ac:dyDescent="0.25">
      <c r="A47" s="289" t="s">
        <v>282</v>
      </c>
      <c r="B47" s="290"/>
      <c r="C47" s="290"/>
      <c r="D47" s="247" t="s">
        <v>260</v>
      </c>
      <c r="E47" s="241" t="s">
        <v>84</v>
      </c>
      <c r="F47" s="247" t="s">
        <v>275</v>
      </c>
      <c r="G47" s="241" t="s">
        <v>23</v>
      </c>
      <c r="H47" s="248" t="s">
        <v>22</v>
      </c>
      <c r="I47" s="249" t="s">
        <v>22</v>
      </c>
    </row>
    <row r="48" spans="1:24" ht="12" customHeight="1" x14ac:dyDescent="0.25">
      <c r="A48" s="241" t="s">
        <v>316</v>
      </c>
      <c r="B48" s="241" t="s">
        <v>315</v>
      </c>
      <c r="C48" s="242" t="s">
        <v>2</v>
      </c>
      <c r="D48" s="231"/>
      <c r="E48" s="231"/>
      <c r="F48" s="231"/>
      <c r="G48" s="293"/>
      <c r="H48" s="293"/>
      <c r="I48" s="294"/>
    </row>
    <row r="49" spans="1:9" ht="13.2" customHeight="1" x14ac:dyDescent="0.25">
      <c r="A49" s="299" t="s">
        <v>5</v>
      </c>
      <c r="B49" s="300">
        <v>7020</v>
      </c>
      <c r="C49" s="301" t="s">
        <v>56</v>
      </c>
      <c r="D49" s="302">
        <f>SUMIFS('Example - NEBS Actuals Download'!F:F,'Example - NEBS Actuals Download'!D:D,B49)</f>
        <v>11934</v>
      </c>
      <c r="E49" s="303">
        <f>IF(D49&gt;0.01,D49/12,0)</f>
        <v>994.5</v>
      </c>
      <c r="F49" s="304">
        <f t="shared" ref="F49:F62" si="6">$B$9</f>
        <v>16</v>
      </c>
      <c r="G49" s="305">
        <f>IF(D49&gt;0.01,E49/F49,0)</f>
        <v>62.15625</v>
      </c>
      <c r="H49" s="477">
        <f t="shared" ref="H49:H63" si="7">IF(D49&gt;0.01,G49*$L$29,0)</f>
        <v>559.40625</v>
      </c>
      <c r="I49" s="478">
        <f t="shared" ref="I49:I63" si="8">IF(D49&gt;0,G49*$M$29,0)</f>
        <v>1491.75</v>
      </c>
    </row>
    <row r="50" spans="1:9" ht="13.2" customHeight="1" x14ac:dyDescent="0.25">
      <c r="A50" s="299" t="s">
        <v>5</v>
      </c>
      <c r="B50" s="300">
        <v>7027</v>
      </c>
      <c r="C50" s="306" t="s">
        <v>74</v>
      </c>
      <c r="D50" s="263">
        <f>SUMIFS('Example - NEBS Actuals Download'!F:F,'Example - NEBS Actuals Download'!D:D,B50)</f>
        <v>0</v>
      </c>
      <c r="E50" s="307">
        <f>IF(D50&gt;0.01,D50/12,0)</f>
        <v>0</v>
      </c>
      <c r="F50" s="304">
        <f t="shared" si="6"/>
        <v>16</v>
      </c>
      <c r="G50" s="308">
        <f t="shared" ref="G50:G61" si="9">IF(D50&gt;0.01,E50/F50,0)</f>
        <v>0</v>
      </c>
      <c r="H50" s="479">
        <f t="shared" si="7"/>
        <v>0</v>
      </c>
      <c r="I50" s="478">
        <f t="shared" si="8"/>
        <v>0</v>
      </c>
    </row>
    <row r="51" spans="1:9" ht="12" customHeight="1" x14ac:dyDescent="0.25">
      <c r="A51" s="260" t="s">
        <v>5</v>
      </c>
      <c r="B51" s="261">
        <v>7040</v>
      </c>
      <c r="C51" s="311" t="s">
        <v>57</v>
      </c>
      <c r="D51" s="263">
        <f>SUMIFS('Example - NEBS Actuals Download'!F:F,'Example - NEBS Actuals Download'!D:D,B51)</f>
        <v>0</v>
      </c>
      <c r="E51" s="307">
        <f t="shared" ref="E51:E63" si="10">IF(D51&gt;0.01,D51/12,0)</f>
        <v>0</v>
      </c>
      <c r="F51" s="304">
        <f t="shared" si="6"/>
        <v>16</v>
      </c>
      <c r="G51" s="308">
        <f t="shared" si="9"/>
        <v>0</v>
      </c>
      <c r="H51" s="479">
        <f t="shared" si="7"/>
        <v>0</v>
      </c>
      <c r="I51" s="478">
        <f t="shared" si="8"/>
        <v>0</v>
      </c>
    </row>
    <row r="52" spans="1:9" ht="12" customHeight="1" x14ac:dyDescent="0.25">
      <c r="A52" s="260" t="s">
        <v>5</v>
      </c>
      <c r="B52" s="261">
        <v>7041</v>
      </c>
      <c r="C52" s="311" t="s">
        <v>71</v>
      </c>
      <c r="D52" s="263">
        <f>SUMIFS('Example - NEBS Actuals Download'!F:F,'Example - NEBS Actuals Download'!D:D,B52)</f>
        <v>0</v>
      </c>
      <c r="E52" s="307">
        <f t="shared" si="10"/>
        <v>0</v>
      </c>
      <c r="F52" s="304">
        <f t="shared" si="6"/>
        <v>16</v>
      </c>
      <c r="G52" s="308">
        <f t="shared" si="9"/>
        <v>0</v>
      </c>
      <c r="H52" s="477">
        <f t="shared" si="7"/>
        <v>0</v>
      </c>
      <c r="I52" s="478">
        <f t="shared" si="8"/>
        <v>0</v>
      </c>
    </row>
    <row r="53" spans="1:9" ht="12" customHeight="1" x14ac:dyDescent="0.25">
      <c r="A53" s="260" t="s">
        <v>5</v>
      </c>
      <c r="B53" s="261">
        <v>7042</v>
      </c>
      <c r="C53" s="311" t="s">
        <v>72</v>
      </c>
      <c r="D53" s="263">
        <f>SUMIFS('Example - NEBS Actuals Download'!F:F,'Example - NEBS Actuals Download'!D:D,B53)</f>
        <v>0</v>
      </c>
      <c r="E53" s="307">
        <f t="shared" si="10"/>
        <v>0</v>
      </c>
      <c r="F53" s="304">
        <f t="shared" si="6"/>
        <v>16</v>
      </c>
      <c r="G53" s="308">
        <f t="shared" si="9"/>
        <v>0</v>
      </c>
      <c r="H53" s="479">
        <f t="shared" si="7"/>
        <v>0</v>
      </c>
      <c r="I53" s="478">
        <f t="shared" si="8"/>
        <v>0</v>
      </c>
    </row>
    <row r="54" spans="1:9" ht="12" customHeight="1" x14ac:dyDescent="0.25">
      <c r="A54" s="260" t="s">
        <v>5</v>
      </c>
      <c r="B54" s="261">
        <v>7043</v>
      </c>
      <c r="C54" s="311" t="s">
        <v>71</v>
      </c>
      <c r="D54" s="263">
        <f>SUMIFS('Example - NEBS Actuals Download'!F:F,'Example - NEBS Actuals Download'!D:D,B54)</f>
        <v>0</v>
      </c>
      <c r="E54" s="307">
        <f t="shared" si="10"/>
        <v>0</v>
      </c>
      <c r="F54" s="304">
        <f t="shared" si="6"/>
        <v>16</v>
      </c>
      <c r="G54" s="308">
        <f t="shared" si="9"/>
        <v>0</v>
      </c>
      <c r="H54" s="479">
        <f t="shared" si="7"/>
        <v>0</v>
      </c>
      <c r="I54" s="478">
        <f t="shared" si="8"/>
        <v>0</v>
      </c>
    </row>
    <row r="55" spans="1:9" ht="12" customHeight="1" x14ac:dyDescent="0.25">
      <c r="A55" s="260" t="s">
        <v>5</v>
      </c>
      <c r="B55" s="261">
        <v>7044</v>
      </c>
      <c r="C55" s="311" t="s">
        <v>73</v>
      </c>
      <c r="D55" s="263">
        <f>SUMIFS('Example - NEBS Actuals Download'!F:F,'Example - NEBS Actuals Download'!D:D,B55)</f>
        <v>6880</v>
      </c>
      <c r="E55" s="307">
        <f t="shared" si="10"/>
        <v>573.33333333333337</v>
      </c>
      <c r="F55" s="304">
        <f t="shared" si="6"/>
        <v>16</v>
      </c>
      <c r="G55" s="308">
        <f t="shared" si="9"/>
        <v>35.833333333333336</v>
      </c>
      <c r="H55" s="477">
        <f t="shared" si="7"/>
        <v>322.5</v>
      </c>
      <c r="I55" s="478">
        <f t="shared" si="8"/>
        <v>860</v>
      </c>
    </row>
    <row r="56" spans="1:9" ht="12" customHeight="1" x14ac:dyDescent="0.25">
      <c r="A56" s="260" t="s">
        <v>5</v>
      </c>
      <c r="B56" s="261">
        <v>7045</v>
      </c>
      <c r="C56" s="311" t="s">
        <v>58</v>
      </c>
      <c r="D56" s="263">
        <f>SUMIFS('Example - NEBS Actuals Download'!F:F,'Example - NEBS Actuals Download'!D:D,B56)</f>
        <v>0</v>
      </c>
      <c r="E56" s="307">
        <f t="shared" si="10"/>
        <v>0</v>
      </c>
      <c r="F56" s="304">
        <f t="shared" si="6"/>
        <v>16</v>
      </c>
      <c r="G56" s="308">
        <f t="shared" si="9"/>
        <v>0</v>
      </c>
      <c r="H56" s="479">
        <f t="shared" si="7"/>
        <v>0</v>
      </c>
      <c r="I56" s="478">
        <f t="shared" si="8"/>
        <v>0</v>
      </c>
    </row>
    <row r="57" spans="1:9" ht="12" customHeight="1" x14ac:dyDescent="0.25">
      <c r="A57" s="260" t="s">
        <v>5</v>
      </c>
      <c r="B57" s="261">
        <v>7285</v>
      </c>
      <c r="C57" s="311" t="s">
        <v>59</v>
      </c>
      <c r="D57" s="263">
        <f>SUMIFS('Example - NEBS Actuals Download'!F:F,'Example - NEBS Actuals Download'!D:D,B57)</f>
        <v>286</v>
      </c>
      <c r="E57" s="307">
        <f t="shared" si="10"/>
        <v>23.833333333333332</v>
      </c>
      <c r="F57" s="304">
        <f t="shared" si="6"/>
        <v>16</v>
      </c>
      <c r="G57" s="308">
        <f t="shared" si="9"/>
        <v>1.4895833333333333</v>
      </c>
      <c r="H57" s="479">
        <f t="shared" si="7"/>
        <v>13.40625</v>
      </c>
      <c r="I57" s="478">
        <f t="shared" si="8"/>
        <v>35.75</v>
      </c>
    </row>
    <row r="58" spans="1:9" ht="12" customHeight="1" x14ac:dyDescent="0.25">
      <c r="A58" s="260" t="s">
        <v>5</v>
      </c>
      <c r="B58" s="261">
        <v>7289</v>
      </c>
      <c r="C58" s="311" t="s">
        <v>481</v>
      </c>
      <c r="D58" s="263">
        <f>SUMIFS('Example - NEBS Actuals Download'!F:F,'Example - NEBS Actuals Download'!D:D,B58)</f>
        <v>4679</v>
      </c>
      <c r="E58" s="307">
        <f t="shared" si="10"/>
        <v>389.91666666666669</v>
      </c>
      <c r="F58" s="304">
        <f t="shared" si="6"/>
        <v>16</v>
      </c>
      <c r="G58" s="308">
        <f t="shared" si="9"/>
        <v>24.369791666666668</v>
      </c>
      <c r="H58" s="477">
        <f t="shared" si="7"/>
        <v>219.328125</v>
      </c>
      <c r="I58" s="478">
        <f t="shared" si="8"/>
        <v>584.875</v>
      </c>
    </row>
    <row r="59" spans="1:9" ht="12" customHeight="1" x14ac:dyDescent="0.25">
      <c r="A59" s="260" t="s">
        <v>5</v>
      </c>
      <c r="B59" s="261">
        <v>7290</v>
      </c>
      <c r="C59" s="311" t="s">
        <v>60</v>
      </c>
      <c r="D59" s="263">
        <f>SUMIFS('Example - NEBS Actuals Download'!F:F,'Example - NEBS Actuals Download'!D:D,B59)</f>
        <v>0</v>
      </c>
      <c r="E59" s="307">
        <f t="shared" si="10"/>
        <v>0</v>
      </c>
      <c r="F59" s="304">
        <f t="shared" si="6"/>
        <v>16</v>
      </c>
      <c r="G59" s="308">
        <f t="shared" si="9"/>
        <v>0</v>
      </c>
      <c r="H59" s="479">
        <f t="shared" si="7"/>
        <v>0</v>
      </c>
      <c r="I59" s="478">
        <f t="shared" si="8"/>
        <v>0</v>
      </c>
    </row>
    <row r="60" spans="1:9" ht="12" customHeight="1" x14ac:dyDescent="0.25">
      <c r="A60" s="260" t="s">
        <v>5</v>
      </c>
      <c r="B60" s="261">
        <v>7291</v>
      </c>
      <c r="C60" s="311" t="s">
        <v>482</v>
      </c>
      <c r="D60" s="263">
        <f>SUMIFS('Example - NEBS Actuals Download'!F:F,'Example - NEBS Actuals Download'!D:D,B60)</f>
        <v>10151</v>
      </c>
      <c r="E60" s="307">
        <f t="shared" si="10"/>
        <v>845.91666666666663</v>
      </c>
      <c r="F60" s="304">
        <f t="shared" si="6"/>
        <v>16</v>
      </c>
      <c r="G60" s="308">
        <f t="shared" si="9"/>
        <v>52.869791666666664</v>
      </c>
      <c r="H60" s="479">
        <f t="shared" si="7"/>
        <v>475.828125</v>
      </c>
      <c r="I60" s="478">
        <f t="shared" si="8"/>
        <v>1268.875</v>
      </c>
    </row>
    <row r="61" spans="1:9" ht="12" customHeight="1" x14ac:dyDescent="0.25">
      <c r="A61" s="260" t="s">
        <v>5</v>
      </c>
      <c r="B61" s="261">
        <v>7292</v>
      </c>
      <c r="C61" s="311" t="s">
        <v>62</v>
      </c>
      <c r="D61" s="263">
        <f>SUMIFS('Example - NEBS Actuals Download'!F:F,'Example - NEBS Actuals Download'!D:D,B61)</f>
        <v>0</v>
      </c>
      <c r="E61" s="307">
        <f t="shared" si="10"/>
        <v>0</v>
      </c>
      <c r="F61" s="304">
        <f t="shared" si="6"/>
        <v>16</v>
      </c>
      <c r="G61" s="308">
        <f t="shared" si="9"/>
        <v>0</v>
      </c>
      <c r="H61" s="477">
        <f t="shared" si="7"/>
        <v>0</v>
      </c>
      <c r="I61" s="478">
        <f t="shared" si="8"/>
        <v>0</v>
      </c>
    </row>
    <row r="62" spans="1:9" ht="12" customHeight="1" x14ac:dyDescent="0.25">
      <c r="A62" s="260" t="s">
        <v>5</v>
      </c>
      <c r="B62" s="261">
        <v>7296</v>
      </c>
      <c r="C62" s="311" t="s">
        <v>75</v>
      </c>
      <c r="D62" s="263">
        <f>SUMIFS('Example - NEBS Actuals Download'!F:F,'Example - NEBS Actuals Download'!D:D,B62)</f>
        <v>568</v>
      </c>
      <c r="E62" s="307">
        <f t="shared" si="10"/>
        <v>47.333333333333336</v>
      </c>
      <c r="F62" s="304">
        <f t="shared" si="6"/>
        <v>16</v>
      </c>
      <c r="G62" s="308">
        <f>IF(D62&gt;0.01,E62/F62,0)</f>
        <v>2.9583333333333335</v>
      </c>
      <c r="H62" s="479">
        <f t="shared" si="7"/>
        <v>26.625</v>
      </c>
      <c r="I62" s="478">
        <f t="shared" si="8"/>
        <v>71</v>
      </c>
    </row>
    <row r="63" spans="1:9" ht="12" customHeight="1" x14ac:dyDescent="0.25">
      <c r="A63" s="260" t="s">
        <v>5</v>
      </c>
      <c r="B63" s="261">
        <v>7980</v>
      </c>
      <c r="C63" s="311" t="s">
        <v>421</v>
      </c>
      <c r="D63" s="263">
        <f>SUMIFS('Example - NEBS Actuals Download'!F:F,'Example - NEBS Actuals Download'!D:D,B63)</f>
        <v>2477</v>
      </c>
      <c r="E63" s="307">
        <f t="shared" si="10"/>
        <v>206.41666666666666</v>
      </c>
      <c r="F63" s="304">
        <f>$B$9</f>
        <v>16</v>
      </c>
      <c r="G63" s="308">
        <f t="shared" ref="G63" si="11">IF(D63&gt;0.01,E63/F63,0)</f>
        <v>12.901041666666666</v>
      </c>
      <c r="H63" s="479">
        <f t="shared" si="7"/>
        <v>116.109375</v>
      </c>
      <c r="I63" s="478">
        <f t="shared" si="8"/>
        <v>309.625</v>
      </c>
    </row>
    <row r="64" spans="1:9" ht="12" customHeight="1" x14ac:dyDescent="0.25">
      <c r="A64" s="312" t="s">
        <v>299</v>
      </c>
      <c r="B64" s="313"/>
      <c r="C64" s="313"/>
      <c r="D64" s="231"/>
      <c r="E64" s="231"/>
      <c r="F64" s="231"/>
      <c r="G64" s="293"/>
      <c r="H64" s="314">
        <f>SUM(H45:H63)</f>
        <v>1831.7731249999999</v>
      </c>
      <c r="I64" s="284">
        <f>SUM(I45:I63)</f>
        <v>4819.0149999999994</v>
      </c>
    </row>
    <row r="65" spans="1:13" ht="12" customHeight="1" x14ac:dyDescent="0.25">
      <c r="A65" s="182"/>
      <c r="B65" s="182"/>
      <c r="C65" s="182"/>
      <c r="D65" s="182"/>
      <c r="E65" s="182"/>
      <c r="F65" s="182"/>
      <c r="G65" s="182"/>
      <c r="H65" s="182"/>
      <c r="I65" s="182"/>
      <c r="J65" s="183"/>
      <c r="K65" s="183"/>
    </row>
    <row r="66" spans="1:13" ht="12.75" customHeight="1" x14ac:dyDescent="0.25">
      <c r="A66" s="315" t="s">
        <v>292</v>
      </c>
      <c r="B66" s="286"/>
      <c r="C66" s="286"/>
      <c r="D66" s="316"/>
      <c r="E66" s="523" t="str">
        <f>E8</f>
        <v>SFY 2020</v>
      </c>
      <c r="F66" s="527"/>
      <c r="G66" s="524"/>
      <c r="H66" s="525" t="str">
        <f>F8</f>
        <v>SFY 2021</v>
      </c>
      <c r="I66" s="528"/>
      <c r="J66" s="526"/>
      <c r="K66" s="153"/>
    </row>
    <row r="67" spans="1:13" ht="71.25" customHeight="1" x14ac:dyDescent="0.25">
      <c r="A67" s="317"/>
      <c r="B67" s="318"/>
      <c r="C67" s="318"/>
      <c r="D67" s="247" t="s">
        <v>20</v>
      </c>
      <c r="E67" s="247" t="s">
        <v>43</v>
      </c>
      <c r="F67" s="292" t="s">
        <v>252</v>
      </c>
      <c r="G67" s="248" t="s">
        <v>281</v>
      </c>
      <c r="H67" s="247" t="s">
        <v>43</v>
      </c>
      <c r="I67" s="292" t="s">
        <v>252</v>
      </c>
      <c r="J67" s="249" t="s">
        <v>281</v>
      </c>
    </row>
    <row r="68" spans="1:13" ht="12" customHeight="1" x14ac:dyDescent="0.25">
      <c r="A68" s="241" t="s">
        <v>316</v>
      </c>
      <c r="B68" s="241" t="s">
        <v>315</v>
      </c>
      <c r="C68" s="319" t="s">
        <v>2</v>
      </c>
      <c r="D68" s="231"/>
      <c r="E68" s="231"/>
      <c r="F68" s="231"/>
      <c r="G68" s="231"/>
      <c r="H68" s="231"/>
      <c r="I68" s="231"/>
      <c r="J68" s="320"/>
    </row>
    <row r="69" spans="1:13" x14ac:dyDescent="0.25">
      <c r="A69" s="321" t="s">
        <v>5</v>
      </c>
      <c r="B69" s="322">
        <v>7110</v>
      </c>
      <c r="C69" s="113" t="s">
        <v>88</v>
      </c>
      <c r="D69" s="323">
        <v>90</v>
      </c>
      <c r="E69" s="324">
        <f>((SUMIFS($F$20:$F$27,$H$20:$H$27,C69,$G$20:$G$27,"&lt;&gt;0")*D69))</f>
        <v>90</v>
      </c>
      <c r="F69" s="184">
        <v>1.33</v>
      </c>
      <c r="G69" s="296">
        <f>((SUMIFS($L$20:$L$27,$H$20:$H$27,C69,$G$20:$G$27,"&lt;&gt;0")*D69)*F69)</f>
        <v>0</v>
      </c>
      <c r="H69" s="324">
        <f>((SUMIFS($F$20:$F$27,$H$20:$H$27,C69,$G$20:$G$27,"&gt;0")*D69))</f>
        <v>90</v>
      </c>
      <c r="I69" s="184">
        <f>1.43</f>
        <v>1.43</v>
      </c>
      <c r="J69" s="297">
        <f>((SUMIFS($M$20:$M$27,$H$20:$H$27,C69,$G$20:$G$27,"&gt;0")*D69)*I69)</f>
        <v>1544.3999999999999</v>
      </c>
    </row>
    <row r="70" spans="1:13" ht="13.2" customHeight="1" x14ac:dyDescent="0.25">
      <c r="A70" s="321" t="s">
        <v>5</v>
      </c>
      <c r="B70" s="322">
        <v>7110</v>
      </c>
      <c r="C70" s="113" t="s">
        <v>82</v>
      </c>
      <c r="D70" s="323">
        <v>100</v>
      </c>
      <c r="E70" s="324">
        <f>((SUMIFS($F$20:$F$27,$H$20:$H$27,C70,$G$20:$G$27,"&lt;&gt;0")*D70))</f>
        <v>100</v>
      </c>
      <c r="F70" s="185">
        <v>1.33</v>
      </c>
      <c r="G70" s="309">
        <f>((SUMIFS($L$20:$L$27,$H$20:$H$27,C70,$G$20:$G$27,"&lt;&gt;0")*D70)*F70)</f>
        <v>1197</v>
      </c>
      <c r="H70" s="324">
        <f>((SUMIFS($F$20:$F$27,$H$20:$H$27,C70,$G$20:$G$27,"&gt;0")*D70))</f>
        <v>100</v>
      </c>
      <c r="I70" s="184">
        <f t="shared" ref="I70:I73" si="12">1.43</f>
        <v>1.43</v>
      </c>
      <c r="J70" s="310">
        <f>((SUMIFS($M$20:$M$27,$H$20:$H$27,C70,$G$20:$G$27,"&gt;0")*D70)*I70)</f>
        <v>1716</v>
      </c>
    </row>
    <row r="71" spans="1:13" ht="13.2" customHeight="1" x14ac:dyDescent="0.25">
      <c r="A71" s="321" t="s">
        <v>5</v>
      </c>
      <c r="B71" s="322">
        <v>7110</v>
      </c>
      <c r="C71" s="113" t="s">
        <v>87</v>
      </c>
      <c r="D71" s="323">
        <v>130</v>
      </c>
      <c r="E71" s="324">
        <f>((SUMIFS($F$20:$F$27,$H$20:$H$27,C71,$G$20:$G$27,"&lt;&gt;0")*D71))</f>
        <v>0</v>
      </c>
      <c r="F71" s="185">
        <v>1.33</v>
      </c>
      <c r="G71" s="309">
        <f>((SUMIFS($L$20:$L$27,$H$20:$H$27,C71,$G$20:$G$27,"&lt;&gt;0")*D71)*F71)</f>
        <v>0</v>
      </c>
      <c r="H71" s="324">
        <f>((SUMIFS($F$20:$F$27,$H$20:$H$27,C71,$G$20:$G$27,"&gt;0")*D71))</f>
        <v>0</v>
      </c>
      <c r="I71" s="184">
        <f t="shared" si="12"/>
        <v>1.43</v>
      </c>
      <c r="J71" s="310">
        <f>((SUMIFS($M$20:$M$27,$H$20:$H$27,C71,$G$20:$G$27,"&gt;0")*D71)*I71)</f>
        <v>0</v>
      </c>
    </row>
    <row r="72" spans="1:13" ht="13.2" customHeight="1" x14ac:dyDescent="0.25">
      <c r="A72" s="321" t="s">
        <v>5</v>
      </c>
      <c r="B72" s="322">
        <v>7110</v>
      </c>
      <c r="C72" s="113" t="s">
        <v>89</v>
      </c>
      <c r="D72" s="323">
        <v>170</v>
      </c>
      <c r="E72" s="324">
        <f>((SUMIFS($F$20:$F$27,$H$20:$H$27,C72,$G$20:$G$27,"&lt;&gt;0")*D72))</f>
        <v>0</v>
      </c>
      <c r="F72" s="185">
        <v>1.33</v>
      </c>
      <c r="G72" s="309">
        <f>((SUMIFS($L$20:$L$27,$H$20:$H$27,C72,$G$20:$G$27,"&lt;&gt;0")*D72)*F72)</f>
        <v>0</v>
      </c>
      <c r="H72" s="324">
        <f>((SUMIFS($F$20:$F$27,$H$20:$H$27,C72,$G$20:$G$27,"&gt;0")*D72))</f>
        <v>0</v>
      </c>
      <c r="I72" s="184">
        <f t="shared" si="12"/>
        <v>1.43</v>
      </c>
      <c r="J72" s="310">
        <f>((SUMIFS($M$20:$M$27,$H$20:$H$27,C72,$G$20:$G$27,"&gt;0")*D72)*I72)</f>
        <v>0</v>
      </c>
    </row>
    <row r="73" spans="1:13" ht="12.6" customHeight="1" x14ac:dyDescent="0.25">
      <c r="A73" s="321" t="s">
        <v>5</v>
      </c>
      <c r="B73" s="322">
        <v>7110</v>
      </c>
      <c r="C73" s="325" t="s">
        <v>63</v>
      </c>
      <c r="D73" s="323">
        <v>20</v>
      </c>
      <c r="E73" s="324">
        <f>SUMIF(G20:G27,"&lt;&gt;0",F20:F27)*D73</f>
        <v>40</v>
      </c>
      <c r="F73" s="185">
        <v>1.33</v>
      </c>
      <c r="G73" s="309">
        <f>(D73*L29)*F73</f>
        <v>239.4</v>
      </c>
      <c r="H73" s="324">
        <f>SUMIF(G20:G27,"&gt;0",F20:F27)*D73</f>
        <v>40</v>
      </c>
      <c r="I73" s="184">
        <f t="shared" si="12"/>
        <v>1.43</v>
      </c>
      <c r="J73" s="310">
        <f>(D73*M29)*I73</f>
        <v>686.4</v>
      </c>
    </row>
    <row r="74" spans="1:13" ht="12.6" customHeight="1" x14ac:dyDescent="0.25">
      <c r="A74" s="326" t="s">
        <v>21</v>
      </c>
      <c r="B74" s="327"/>
      <c r="C74" s="328"/>
      <c r="D74" s="231"/>
      <c r="E74" s="231"/>
      <c r="F74" s="231"/>
      <c r="G74" s="282">
        <f>SUM(G69:G73)</f>
        <v>1436.4</v>
      </c>
      <c r="H74" s="231"/>
      <c r="I74" s="231"/>
      <c r="J74" s="284">
        <f>SUM(J69:J73)</f>
        <v>3946.7999999999997</v>
      </c>
    </row>
    <row r="75" spans="1:13" ht="12.6" customHeight="1" x14ac:dyDescent="0.25">
      <c r="A75" s="321"/>
      <c r="B75" s="322"/>
      <c r="C75" s="529"/>
      <c r="D75" s="530"/>
      <c r="E75" s="324"/>
      <c r="F75" s="184"/>
      <c r="G75" s="296"/>
      <c r="H75" s="324"/>
      <c r="I75" s="184"/>
      <c r="J75" s="297"/>
    </row>
    <row r="76" spans="1:13" ht="12" customHeight="1" x14ac:dyDescent="0.25">
      <c r="A76" s="312" t="s">
        <v>300</v>
      </c>
      <c r="B76" s="313"/>
      <c r="C76" s="313"/>
      <c r="D76" s="313"/>
      <c r="E76" s="329">
        <f>SUM(E69:E75)</f>
        <v>230</v>
      </c>
      <c r="F76" s="231"/>
      <c r="G76" s="282">
        <f>SUM(G74:G75)</f>
        <v>1436.4</v>
      </c>
      <c r="H76" s="329">
        <f>SUM(H69:H75)</f>
        <v>230</v>
      </c>
      <c r="I76" s="168"/>
      <c r="J76" s="284">
        <f>SUM(J74:J75)</f>
        <v>3946.7999999999997</v>
      </c>
    </row>
    <row r="77" spans="1:13" ht="12" customHeight="1" x14ac:dyDescent="0.25">
      <c r="A77" s="182"/>
      <c r="B77" s="182"/>
      <c r="C77" s="182"/>
      <c r="D77" s="182"/>
      <c r="E77" s="182"/>
      <c r="F77" s="182"/>
      <c r="G77" s="182"/>
      <c r="H77" s="186"/>
      <c r="I77" s="187"/>
      <c r="J77" s="188"/>
      <c r="K77" s="183"/>
      <c r="L77" s="183"/>
      <c r="M77" s="173"/>
    </row>
    <row r="78" spans="1:13" ht="12" customHeight="1" x14ac:dyDescent="0.25">
      <c r="A78" s="182"/>
      <c r="B78" s="182"/>
      <c r="C78" s="182"/>
      <c r="D78" s="182"/>
      <c r="E78" s="182"/>
      <c r="F78" s="182"/>
      <c r="G78" s="182"/>
      <c r="H78" s="186"/>
      <c r="I78" s="187"/>
      <c r="J78" s="188"/>
      <c r="K78" s="183"/>
      <c r="L78" s="183"/>
      <c r="M78" s="173"/>
    </row>
    <row r="79" spans="1:13" ht="12.75" customHeight="1" x14ac:dyDescent="0.25">
      <c r="A79" s="315" t="s">
        <v>483</v>
      </c>
      <c r="B79" s="286"/>
      <c r="C79" s="330"/>
      <c r="D79" s="286"/>
      <c r="E79" s="190"/>
      <c r="F79" s="286"/>
      <c r="G79" s="287"/>
      <c r="H79" s="210" t="str">
        <f>E8</f>
        <v>SFY 2020</v>
      </c>
      <c r="I79" s="209" t="str">
        <f>F8</f>
        <v>SFY 2021</v>
      </c>
      <c r="J79" s="153"/>
      <c r="K79" s="153"/>
    </row>
    <row r="80" spans="1:13" ht="69.75" customHeight="1" x14ac:dyDescent="0.25">
      <c r="A80" s="331"/>
      <c r="B80" s="318"/>
      <c r="C80" s="318"/>
      <c r="D80" s="318"/>
      <c r="E80" s="98" t="s">
        <v>274</v>
      </c>
      <c r="F80" s="247" t="s">
        <v>263</v>
      </c>
      <c r="G80" s="247" t="s">
        <v>264</v>
      </c>
      <c r="H80" s="248" t="s">
        <v>22</v>
      </c>
      <c r="I80" s="249" t="s">
        <v>22</v>
      </c>
    </row>
    <row r="81" spans="1:12" ht="12" customHeight="1" x14ac:dyDescent="0.25">
      <c r="A81" s="241" t="s">
        <v>316</v>
      </c>
      <c r="B81" s="490" t="s">
        <v>2</v>
      </c>
      <c r="C81" s="491"/>
      <c r="D81" s="287"/>
      <c r="E81" s="168"/>
      <c r="F81" s="231"/>
      <c r="G81" s="231"/>
      <c r="H81" s="293"/>
      <c r="I81" s="294"/>
    </row>
    <row r="82" spans="1:12" ht="21" customHeight="1" x14ac:dyDescent="0.25">
      <c r="A82" s="366" t="s">
        <v>28</v>
      </c>
      <c r="B82" s="531" t="s">
        <v>380</v>
      </c>
      <c r="C82" s="532"/>
      <c r="D82" s="533"/>
      <c r="E82" s="99" t="str">
        <f>'Dates-Rates'!E33</f>
        <v xml:space="preserve">provide quote </v>
      </c>
      <c r="F82" s="323">
        <f>SUMIFS($F$20:$F$27,$G$20:$G$27,"&lt;"&amp;'Dates-Rates'!B5,$H$20:$H$27,"&lt;&gt;Division Head/Deputy/Chief")</f>
        <v>1</v>
      </c>
      <c r="G82" s="323">
        <f>SUMIFS($F$20:$F$27,$G$20:$G$27,"&gt;="&amp;'Dates-Rates'!B5,$H$20:$H$27,"&lt;&gt;Division Head/Deputy/Chief")</f>
        <v>1</v>
      </c>
      <c r="H82" s="334" t="e">
        <f>$E$82*F82</f>
        <v>#VALUE!</v>
      </c>
      <c r="I82" s="335" t="e">
        <f>$E$82*G82</f>
        <v>#VALUE!</v>
      </c>
    </row>
    <row r="83" spans="1:12" ht="38.25" customHeight="1" x14ac:dyDescent="0.25">
      <c r="A83" s="321" t="s">
        <v>28</v>
      </c>
      <c r="B83" s="534" t="s">
        <v>379</v>
      </c>
      <c r="C83" s="535"/>
      <c r="D83" s="536"/>
      <c r="E83" s="367">
        <f>'Dates-Rates'!E34</f>
        <v>2383</v>
      </c>
      <c r="F83" s="323">
        <f>SUMIFS($F$20:$F$27,$G$20:$G$27,"&lt;"&amp;'Dates-Rates'!B6,$H$20:$H$27,"&lt;&gt;Division Head/Deputy/Chief")</f>
        <v>1</v>
      </c>
      <c r="G83" s="323">
        <f>SUMIFS($F$20:$F$27,$G$20:$G$27,"&gt;="&amp;'Dates-Rates'!B6,$H$20:$H$27,"&lt;&gt;Division Head/Deputy/Chief")</f>
        <v>1</v>
      </c>
      <c r="H83" s="368">
        <f>$E$83*F83</f>
        <v>2383</v>
      </c>
      <c r="I83" s="216">
        <f>$E$83*G83</f>
        <v>2383</v>
      </c>
    </row>
    <row r="84" spans="1:12" ht="39.6" customHeight="1" x14ac:dyDescent="0.25">
      <c r="A84" s="321" t="s">
        <v>28</v>
      </c>
      <c r="B84" s="537" t="s">
        <v>381</v>
      </c>
      <c r="C84" s="538"/>
      <c r="D84" s="539"/>
      <c r="E84" s="106">
        <f>'Dates-Rates'!E35</f>
        <v>3745</v>
      </c>
      <c r="F84" s="323">
        <f>SUMIFS($F$20:$F$27,$G$20:$G$27,"&lt;"&amp;'Dates-Rates'!B6,$H$20:$H$27,$C$72)</f>
        <v>0</v>
      </c>
      <c r="G84" s="323">
        <f>SUMIFS($F$20:$F$27,$G$20:$G$27,"&gt;="&amp;'Dates-Rates'!B6,$H$20:$H$27,$C$72)</f>
        <v>0</v>
      </c>
      <c r="H84" s="336">
        <f>$E$84*F84</f>
        <v>0</v>
      </c>
      <c r="I84" s="337">
        <f>$E$84*G84</f>
        <v>0</v>
      </c>
    </row>
    <row r="85" spans="1:12" ht="12" customHeight="1" x14ac:dyDescent="0.25">
      <c r="A85" s="312" t="s">
        <v>373</v>
      </c>
      <c r="B85" s="313"/>
      <c r="C85" s="313"/>
      <c r="D85" s="313"/>
      <c r="E85" s="168"/>
      <c r="F85" s="231"/>
      <c r="G85" s="231"/>
      <c r="H85" s="282">
        <f>SUM(H83:H84)</f>
        <v>2383</v>
      </c>
      <c r="I85" s="333">
        <f>SUM(I83:I84)</f>
        <v>2383</v>
      </c>
    </row>
    <row r="86" spans="1:12" ht="12" customHeight="1" x14ac:dyDescent="0.25">
      <c r="A86" s="182"/>
      <c r="B86" s="182"/>
      <c r="C86" s="182"/>
      <c r="D86" s="182"/>
      <c r="E86" s="182"/>
      <c r="F86" s="182"/>
      <c r="G86" s="182"/>
      <c r="H86" s="182"/>
      <c r="I86" s="182"/>
      <c r="J86" s="183"/>
      <c r="K86" s="183"/>
    </row>
    <row r="87" spans="1:12" ht="12" customHeight="1" x14ac:dyDescent="0.25">
      <c r="L87" s="146"/>
    </row>
    <row r="88" spans="1:12" x14ac:dyDescent="0.25">
      <c r="A88" s="315" t="s">
        <v>294</v>
      </c>
      <c r="B88" s="286"/>
      <c r="C88" s="286"/>
      <c r="D88" s="286"/>
      <c r="E88" s="287"/>
      <c r="F88" s="241"/>
      <c r="G88" s="241"/>
      <c r="H88" s="210" t="str">
        <f>E8</f>
        <v>SFY 2020</v>
      </c>
      <c r="I88" s="209" t="str">
        <f>F8</f>
        <v>SFY 2021</v>
      </c>
      <c r="J88" s="153"/>
      <c r="K88" s="153"/>
    </row>
    <row r="89" spans="1:12" ht="45.75" customHeight="1" x14ac:dyDescent="0.25">
      <c r="A89" s="331" t="s">
        <v>259</v>
      </c>
      <c r="B89" s="318"/>
      <c r="C89" s="318"/>
      <c r="D89" s="98" t="s">
        <v>261</v>
      </c>
      <c r="E89" s="100" t="s">
        <v>262</v>
      </c>
      <c r="F89" s="247" t="s">
        <v>263</v>
      </c>
      <c r="G89" s="247" t="s">
        <v>264</v>
      </c>
      <c r="H89" s="248" t="s">
        <v>22</v>
      </c>
      <c r="I89" s="249" t="s">
        <v>22</v>
      </c>
    </row>
    <row r="90" spans="1:12" ht="12" customHeight="1" x14ac:dyDescent="0.25">
      <c r="A90" s="241" t="s">
        <v>316</v>
      </c>
      <c r="B90" s="241" t="s">
        <v>315</v>
      </c>
      <c r="C90" s="319" t="s">
        <v>2</v>
      </c>
      <c r="D90" s="231"/>
      <c r="E90" s="231"/>
      <c r="F90" s="293"/>
      <c r="G90" s="293"/>
      <c r="H90" s="293"/>
      <c r="I90" s="294"/>
    </row>
    <row r="91" spans="1:12" ht="13.2" customHeight="1" x14ac:dyDescent="0.25">
      <c r="A91" s="332" t="s">
        <v>1</v>
      </c>
      <c r="B91" s="338">
        <v>7554</v>
      </c>
      <c r="C91" s="339" t="s">
        <v>272</v>
      </c>
      <c r="D91" s="95">
        <f>'Dates-Rates'!D23</f>
        <v>211.57</v>
      </c>
      <c r="E91" s="95">
        <f>'Dates-Rates'!E23</f>
        <v>211.57</v>
      </c>
      <c r="F91" s="324">
        <f>SUMIFS($F$20:$F$27,$G$20:$G$27,"&lt;"&amp;'Dates-Rates'!B6)</f>
        <v>1</v>
      </c>
      <c r="G91" s="324">
        <f>SUMIFS($F$20:$F$27,$G$20:$G$27,"&gt;="&amp;'Dates-Rates'!B6)+F91</f>
        <v>2</v>
      </c>
      <c r="H91" s="296">
        <f>$F91*$D91</f>
        <v>211.57</v>
      </c>
      <c r="I91" s="297">
        <f>$G91*$E91</f>
        <v>423.14</v>
      </c>
    </row>
    <row r="92" spans="1:12" ht="13.2" customHeight="1" x14ac:dyDescent="0.25">
      <c r="A92" s="340" t="s">
        <v>1</v>
      </c>
      <c r="B92" s="341">
        <v>7556</v>
      </c>
      <c r="C92" s="342" t="s">
        <v>273</v>
      </c>
      <c r="D92" s="108">
        <f>'Dates-Rates'!D24</f>
        <v>128.66</v>
      </c>
      <c r="E92" s="108">
        <f>'Dates-Rates'!E24</f>
        <v>128.66</v>
      </c>
      <c r="F92" s="324">
        <f>SUMIFS($F$20:$F$27,$G$20:$G$27,"&lt;"&amp;'Dates-Rates'!B6)</f>
        <v>1</v>
      </c>
      <c r="G92" s="324">
        <f>SUMIFS($F$20:$F$27,$G$20:$G$27,"&gt;="&amp;'Dates-Rates'!B6)+F92</f>
        <v>2</v>
      </c>
      <c r="H92" s="296">
        <f>$F92*$D92</f>
        <v>128.66</v>
      </c>
      <c r="I92" s="297">
        <f>$G92*$E92</f>
        <v>257.32</v>
      </c>
    </row>
    <row r="93" spans="1:12" ht="45.75" customHeight="1" x14ac:dyDescent="0.25">
      <c r="A93" s="331" t="s">
        <v>342</v>
      </c>
      <c r="B93" s="318"/>
      <c r="C93" s="318"/>
      <c r="D93" s="98" t="s">
        <v>332</v>
      </c>
      <c r="E93" s="100" t="s">
        <v>333</v>
      </c>
      <c r="F93" s="247" t="s">
        <v>335</v>
      </c>
      <c r="G93" s="247" t="s">
        <v>335</v>
      </c>
      <c r="H93" s="248" t="s">
        <v>22</v>
      </c>
      <c r="I93" s="249" t="s">
        <v>22</v>
      </c>
    </row>
    <row r="94" spans="1:12" ht="12" customHeight="1" x14ac:dyDescent="0.25">
      <c r="A94" s="241" t="s">
        <v>316</v>
      </c>
      <c r="B94" s="241" t="s">
        <v>315</v>
      </c>
      <c r="C94" s="319" t="s">
        <v>2</v>
      </c>
      <c r="D94" s="231"/>
      <c r="E94" s="231"/>
      <c r="F94" s="293"/>
      <c r="G94" s="293"/>
      <c r="H94" s="293"/>
      <c r="I94" s="294"/>
    </row>
    <row r="95" spans="1:12" ht="13.2" customHeight="1" x14ac:dyDescent="0.25">
      <c r="A95" s="340" t="s">
        <v>1</v>
      </c>
      <c r="B95" s="341">
        <v>7533</v>
      </c>
      <c r="C95" s="343" t="s">
        <v>65</v>
      </c>
      <c r="D95" s="101">
        <f>'Dates-Rates'!D27</f>
        <v>14.53</v>
      </c>
      <c r="E95" s="101">
        <f>'Dates-Rates'!E27</f>
        <v>14.53</v>
      </c>
      <c r="F95" s="324">
        <f>L$29</f>
        <v>9</v>
      </c>
      <c r="G95" s="324">
        <f>M$29</f>
        <v>24</v>
      </c>
      <c r="H95" s="296">
        <f>$F95*$D95</f>
        <v>130.76999999999998</v>
      </c>
      <c r="I95" s="297">
        <f>$G95*$E95</f>
        <v>348.71999999999997</v>
      </c>
    </row>
    <row r="96" spans="1:12" ht="13.2" customHeight="1" x14ac:dyDescent="0.25">
      <c r="A96" s="469"/>
      <c r="B96" s="470"/>
      <c r="C96" s="471"/>
      <c r="D96" s="480"/>
      <c r="E96" s="480"/>
      <c r="F96" s="473"/>
      <c r="G96" s="473"/>
      <c r="H96" s="474"/>
      <c r="I96" s="474"/>
    </row>
    <row r="97" spans="1:12" ht="52.8" x14ac:dyDescent="0.25">
      <c r="A97" s="331" t="s">
        <v>17</v>
      </c>
      <c r="B97" s="318"/>
      <c r="C97" s="318"/>
      <c r="D97" s="247" t="s">
        <v>260</v>
      </c>
      <c r="E97" s="241" t="s">
        <v>84</v>
      </c>
      <c r="F97" s="247" t="s">
        <v>275</v>
      </c>
      <c r="G97" s="247" t="s">
        <v>16</v>
      </c>
      <c r="H97" s="248" t="s">
        <v>22</v>
      </c>
      <c r="I97" s="249" t="s">
        <v>22</v>
      </c>
    </row>
    <row r="98" spans="1:12" ht="12" customHeight="1" x14ac:dyDescent="0.25">
      <c r="A98" s="241" t="s">
        <v>316</v>
      </c>
      <c r="B98" s="241" t="s">
        <v>315</v>
      </c>
      <c r="C98" s="319" t="s">
        <v>2</v>
      </c>
      <c r="D98" s="231"/>
      <c r="E98" s="293"/>
      <c r="F98" s="293"/>
      <c r="G98" s="293"/>
      <c r="H98" s="293"/>
      <c r="I98" s="294"/>
    </row>
    <row r="99" spans="1:12" ht="12" customHeight="1" x14ac:dyDescent="0.25">
      <c r="A99" s="332" t="s">
        <v>1</v>
      </c>
      <c r="B99" s="338">
        <v>7222</v>
      </c>
      <c r="C99" s="344" t="s">
        <v>64</v>
      </c>
      <c r="D99" s="253">
        <f>SUMIFS('Example - NEBS Actuals Download'!F:F,'Example - NEBS Actuals Download'!D:D,B99)</f>
        <v>0</v>
      </c>
      <c r="E99" s="253">
        <f>IF(D99&lt;&gt;0,D99/12,0)</f>
        <v>0</v>
      </c>
      <c r="F99" s="348">
        <f>$B$9</f>
        <v>16</v>
      </c>
      <c r="G99" s="253">
        <f>IF(D99&gt;0.01,E99/F99,0)</f>
        <v>0</v>
      </c>
      <c r="H99" s="257">
        <f>G99*L29</f>
        <v>0</v>
      </c>
      <c r="I99" s="259">
        <f>IF($M$29&gt;0,G99*$M$29,"")</f>
        <v>0</v>
      </c>
    </row>
    <row r="100" spans="1:12" ht="12" customHeight="1" x14ac:dyDescent="0.25">
      <c r="A100" s="345" t="s">
        <v>301</v>
      </c>
      <c r="B100" s="346"/>
      <c r="C100" s="346"/>
      <c r="D100" s="231"/>
      <c r="E100" s="293"/>
      <c r="F100" s="293"/>
      <c r="G100" s="294"/>
      <c r="H100" s="349">
        <f>SUM(H91:H99)</f>
        <v>471</v>
      </c>
      <c r="I100" s="350">
        <f>SUM(I91:I99)</f>
        <v>1029.18</v>
      </c>
    </row>
    <row r="101" spans="1:12" ht="12" customHeight="1" x14ac:dyDescent="0.25">
      <c r="A101" s="347"/>
      <c r="B101" s="347"/>
      <c r="C101" s="347"/>
      <c r="D101" s="347"/>
      <c r="E101" s="347"/>
      <c r="F101" s="347"/>
      <c r="G101" s="347"/>
      <c r="H101" s="352"/>
      <c r="I101" s="352"/>
    </row>
    <row r="102" spans="1:12" ht="12.75" customHeight="1" x14ac:dyDescent="0.25">
      <c r="A102" s="315" t="s">
        <v>303</v>
      </c>
      <c r="B102" s="286"/>
      <c r="C102" s="330"/>
      <c r="D102" s="330"/>
      <c r="E102" s="351"/>
      <c r="F102" s="351"/>
      <c r="G102" s="351"/>
      <c r="H102" s="210" t="str">
        <f>E8</f>
        <v>SFY 2020</v>
      </c>
      <c r="I102" s="209" t="str">
        <f>F8</f>
        <v>SFY 2021</v>
      </c>
      <c r="K102" s="146"/>
      <c r="L102" s="153"/>
    </row>
    <row r="103" spans="1:12" ht="66" x14ac:dyDescent="0.25">
      <c r="A103" s="331" t="s">
        <v>302</v>
      </c>
      <c r="B103" s="318"/>
      <c r="C103" s="318"/>
      <c r="D103" s="357"/>
      <c r="E103" s="98" t="s">
        <v>30</v>
      </c>
      <c r="F103" s="247" t="s">
        <v>263</v>
      </c>
      <c r="G103" s="247" t="s">
        <v>264</v>
      </c>
      <c r="H103" s="248" t="s">
        <v>22</v>
      </c>
      <c r="I103" s="249" t="s">
        <v>22</v>
      </c>
    </row>
    <row r="104" spans="1:12" ht="12" customHeight="1" x14ac:dyDescent="0.25">
      <c r="A104" s="241" t="s">
        <v>316</v>
      </c>
      <c r="B104" s="241" t="s">
        <v>315</v>
      </c>
      <c r="C104" s="520" t="s">
        <v>2</v>
      </c>
      <c r="D104" s="521"/>
      <c r="E104" s="293"/>
      <c r="F104" s="231"/>
      <c r="G104" s="293"/>
      <c r="H104" s="293"/>
      <c r="I104" s="294"/>
    </row>
    <row r="105" spans="1:12" ht="12" customHeight="1" x14ac:dyDescent="0.25">
      <c r="A105" s="332" t="s">
        <v>1</v>
      </c>
      <c r="B105" s="341">
        <v>8371</v>
      </c>
      <c r="C105" s="544" t="s">
        <v>66</v>
      </c>
      <c r="D105" s="545"/>
      <c r="E105" s="109">
        <f>'Dates-Rates'!E36</f>
        <v>1585</v>
      </c>
      <c r="F105" s="323">
        <f>SUMIFS($F$20:$F$27,$I$20:$I$27,"Laptop",$G$20:$G$27,"&lt;"&amp;'Dates-Rates'!B6)</f>
        <v>0</v>
      </c>
      <c r="G105" s="323">
        <f>SUMIFS($F$20:$F$27,$I$20:$I$27,"Laptop",$G$20:$G$27,"&gt;="&amp;'Dates-Rates'!B6)</f>
        <v>0</v>
      </c>
      <c r="H105" s="353">
        <f>F105*E105</f>
        <v>0</v>
      </c>
      <c r="I105" s="259">
        <f>G105*E105</f>
        <v>0</v>
      </c>
    </row>
    <row r="106" spans="1:12" ht="12" customHeight="1" x14ac:dyDescent="0.25">
      <c r="A106" s="358" t="s">
        <v>1</v>
      </c>
      <c r="B106" s="359">
        <v>8371</v>
      </c>
      <c r="C106" s="540" t="s">
        <v>67</v>
      </c>
      <c r="D106" s="541"/>
      <c r="E106" s="107">
        <f>'Dates-Rates'!E37</f>
        <v>355</v>
      </c>
      <c r="F106" s="323">
        <f>SUMIFS($F$20:$F$27,$I$20:$I$27,"Laptop",$G$20:$G$27,"&lt;"&amp;'Dates-Rates'!B6)</f>
        <v>0</v>
      </c>
      <c r="G106" s="323">
        <f>SUMIFS($F$20:$F$27,$I$20:$I$27,"Laptop",$G$20:$G$27,"&gt;="&amp;'Dates-Rates'!B6)</f>
        <v>0</v>
      </c>
      <c r="H106" s="354">
        <f>F106*E106</f>
        <v>0</v>
      </c>
      <c r="I106" s="269">
        <f>G106*E106</f>
        <v>0</v>
      </c>
    </row>
    <row r="107" spans="1:12" ht="12" customHeight="1" x14ac:dyDescent="0.25">
      <c r="A107" s="358" t="s">
        <v>1</v>
      </c>
      <c r="B107" s="359">
        <v>8371</v>
      </c>
      <c r="C107" s="540" t="s">
        <v>68</v>
      </c>
      <c r="D107" s="541"/>
      <c r="E107" s="107">
        <f>'Dates-Rates'!E38</f>
        <v>1155</v>
      </c>
      <c r="F107" s="323">
        <f>SUMIFS($F$20:$F$27,$I$20:$I$27,"Desktop",$G$20:$G$27,"&lt;"&amp;'Dates-Rates'!B6)</f>
        <v>1</v>
      </c>
      <c r="G107" s="323">
        <f>SUMIFS($F$20:$F$27,$I$20:$I$27,"Desktop",$G$20:$G$27,"&gt;="&amp;'Dates-Rates'!B6)</f>
        <v>1</v>
      </c>
      <c r="H107" s="354">
        <f>F107*E107</f>
        <v>1155</v>
      </c>
      <c r="I107" s="269">
        <f>G107*E107</f>
        <v>1155</v>
      </c>
    </row>
    <row r="108" spans="1:12" ht="12" customHeight="1" x14ac:dyDescent="0.25">
      <c r="A108" s="358" t="s">
        <v>1</v>
      </c>
      <c r="B108" s="359">
        <v>8371</v>
      </c>
      <c r="C108" s="540" t="s">
        <v>283</v>
      </c>
      <c r="D108" s="541"/>
      <c r="E108" s="107">
        <f>'Dates-Rates'!E39</f>
        <v>95</v>
      </c>
      <c r="F108" s="323">
        <f>SUMIFS($F$20:$F$27,$I$20:$I$27,"Desktop",$G$20:$G$27,"&lt;"&amp;'Dates-Rates'!B6)</f>
        <v>1</v>
      </c>
      <c r="G108" s="323">
        <f>SUMIFS($F$20:$F$27,$I$20:$I$27,"Desktop",$G$20:$G$27,"&gt;="&amp;'Dates-Rates'!B6)</f>
        <v>1</v>
      </c>
      <c r="H108" s="354">
        <f>F108*E108</f>
        <v>95</v>
      </c>
      <c r="I108" s="269">
        <f>G108*E108</f>
        <v>95</v>
      </c>
      <c r="J108" s="192"/>
    </row>
    <row r="109" spans="1:12" ht="12" customHeight="1" x14ac:dyDescent="0.25">
      <c r="A109" s="358" t="s">
        <v>1</v>
      </c>
      <c r="B109" s="359">
        <v>8371</v>
      </c>
      <c r="C109" s="540" t="s">
        <v>285</v>
      </c>
      <c r="D109" s="541"/>
      <c r="E109" s="107">
        <f>'Dates-Rates'!E40</f>
        <v>24</v>
      </c>
      <c r="F109" s="323">
        <f>SUMIFS($F$20:$F$27,$G$20:$G$27,"&lt;"&amp;'Dates-Rates'!B6)</f>
        <v>1</v>
      </c>
      <c r="G109" s="323">
        <f>SUMIFS($F$20:$F$27,$G$20:$G$27,"&gt;="&amp;'Dates-Rates'!B6)</f>
        <v>1</v>
      </c>
      <c r="H109" s="354">
        <f>F109*E109</f>
        <v>24</v>
      </c>
      <c r="I109" s="269">
        <f>G109*E109</f>
        <v>24</v>
      </c>
      <c r="J109" s="192"/>
    </row>
    <row r="110" spans="1:12" ht="12" customHeight="1" x14ac:dyDescent="0.25">
      <c r="A110" s="358" t="s">
        <v>1</v>
      </c>
      <c r="B110" s="359">
        <v>8371</v>
      </c>
      <c r="C110" s="540" t="s">
        <v>284</v>
      </c>
      <c r="D110" s="541"/>
      <c r="E110" s="107">
        <f>'Dates-Rates'!E41</f>
        <v>2880</v>
      </c>
      <c r="F110" s="323">
        <f>SUMIFS($F$20:$F$27,$G$20:$G$27,"&lt;"&amp;'Dates-Rates'!B6,$F$20:$F$27,"&gt;=15")</f>
        <v>0</v>
      </c>
      <c r="G110" s="323">
        <f>SUMIFS($F$20:$F$27,$G$20:$G$27,"&lt;"&amp;'Dates-Rates'!B6,$F$20:$F$27,"&gt;=15")</f>
        <v>0</v>
      </c>
      <c r="H110" s="354">
        <f>IF(F110&gt;14.9,(ROUNDDOWN((F110/15),0)*$E$110),0)</f>
        <v>0</v>
      </c>
      <c r="I110" s="269">
        <f>IF(G110&gt;4.9,(ROUNDDOWN((G110/5),0)*$E$110),IF(F110&lt;15,IF((SUM(F110:G110)&gt;14.9),(ROUNDDOWN(SUM(F110:G110)/15,0)*$E$110),0),0))</f>
        <v>0</v>
      </c>
      <c r="J110" s="192"/>
    </row>
    <row r="111" spans="1:12" ht="12" customHeight="1" x14ac:dyDescent="0.25">
      <c r="A111" s="358" t="s">
        <v>1</v>
      </c>
      <c r="B111" s="359">
        <v>8371</v>
      </c>
      <c r="C111" s="540" t="s">
        <v>306</v>
      </c>
      <c r="D111" s="541"/>
      <c r="E111" s="107">
        <f>'Dates-Rates'!E42</f>
        <v>75</v>
      </c>
      <c r="F111" s="323">
        <f>SUMIFS($F$20:$F$27,$H$20:$H$27,"&lt;&gt;CLERICAL SUPPORT",$G$20:$G$27,"&lt;"&amp;'Dates-Rates'!B6)</f>
        <v>1</v>
      </c>
      <c r="G111" s="323">
        <f>SUMIFS($F$20:$F$27,$H$20:$H$27,"&lt;&gt;CLERICAL SUPPORT",$G$20:$G$27,"&gt;="&amp;'Dates-Rates'!B6)</f>
        <v>0</v>
      </c>
      <c r="H111" s="354">
        <f>F111*E111</f>
        <v>75</v>
      </c>
      <c r="I111" s="269">
        <f>G111*E111</f>
        <v>0</v>
      </c>
    </row>
    <row r="112" spans="1:12" ht="12" customHeight="1" x14ac:dyDescent="0.25">
      <c r="A112" s="358" t="s">
        <v>1</v>
      </c>
      <c r="B112" s="359">
        <v>7771</v>
      </c>
      <c r="C112" s="542" t="s">
        <v>69</v>
      </c>
      <c r="D112" s="543"/>
      <c r="E112" s="107">
        <f>'Dates-Rates'!E43</f>
        <v>330</v>
      </c>
      <c r="F112" s="323">
        <f>SUMIFS($F$20:$F$27,$G$20:$G$27,"&lt;"&amp;'Dates-Rates'!B6)</f>
        <v>1</v>
      </c>
      <c r="G112" s="323">
        <f>SUMIFS($F$20:$F$27,$G$20:$G$27,"&gt;="&amp;'Dates-Rates'!B6)</f>
        <v>1</v>
      </c>
      <c r="H112" s="354">
        <f>F112*E112</f>
        <v>330</v>
      </c>
      <c r="I112" s="269">
        <f>G112*E112</f>
        <v>330</v>
      </c>
    </row>
    <row r="113" spans="1:11" ht="12" customHeight="1" x14ac:dyDescent="0.25">
      <c r="A113" s="345" t="s">
        <v>304</v>
      </c>
      <c r="B113" s="346"/>
      <c r="C113" s="346"/>
      <c r="D113" s="346"/>
      <c r="E113" s="320"/>
      <c r="F113" s="231"/>
      <c r="G113" s="293"/>
      <c r="H113" s="355">
        <f>SUM(H105:H112)</f>
        <v>1679</v>
      </c>
      <c r="I113" s="356">
        <f>SUM(I105:I112)</f>
        <v>1604</v>
      </c>
    </row>
    <row r="116" spans="1:11" x14ac:dyDescent="0.25">
      <c r="A116" s="315" t="s">
        <v>322</v>
      </c>
      <c r="B116" s="286"/>
      <c r="C116" s="286"/>
      <c r="D116" s="286"/>
      <c r="E116" s="286"/>
      <c r="F116" s="286"/>
      <c r="G116" s="288"/>
      <c r="H116" s="210" t="str">
        <f>E8</f>
        <v>SFY 2020</v>
      </c>
      <c r="I116" s="209" t="str">
        <f>F8</f>
        <v>SFY 2021</v>
      </c>
      <c r="J116" s="153"/>
      <c r="K116" s="153"/>
    </row>
    <row r="117" spans="1:11" ht="52.8" x14ac:dyDescent="0.25">
      <c r="A117" s="331"/>
      <c r="B117" s="318"/>
      <c r="C117" s="318"/>
      <c r="D117" s="318"/>
      <c r="E117" s="247" t="s">
        <v>286</v>
      </c>
      <c r="F117" s="247" t="s">
        <v>287</v>
      </c>
      <c r="G117" s="291" t="s">
        <v>47</v>
      </c>
      <c r="H117" s="248" t="s">
        <v>22</v>
      </c>
      <c r="I117" s="249" t="s">
        <v>22</v>
      </c>
    </row>
    <row r="118" spans="1:11" ht="12" customHeight="1" x14ac:dyDescent="0.25">
      <c r="A118" s="241" t="s">
        <v>316</v>
      </c>
      <c r="B118" s="241" t="s">
        <v>315</v>
      </c>
      <c r="C118" s="319" t="s">
        <v>2</v>
      </c>
      <c r="D118" s="287"/>
      <c r="E118" s="231"/>
      <c r="F118" s="293"/>
      <c r="G118" s="293"/>
      <c r="H118" s="293"/>
      <c r="I118" s="294"/>
    </row>
    <row r="119" spans="1:11" ht="12" customHeight="1" x14ac:dyDescent="0.25">
      <c r="A119" s="326" t="s">
        <v>45</v>
      </c>
      <c r="B119" s="327">
        <v>7398</v>
      </c>
      <c r="C119" s="360" t="s">
        <v>46</v>
      </c>
      <c r="D119" s="361"/>
      <c r="E119" s="362">
        <f>SUM(E9:E13)</f>
        <v>82365.104943181825</v>
      </c>
      <c r="F119" s="362">
        <f>SUM(F9:F13)</f>
        <v>182084.90409090908</v>
      </c>
      <c r="G119" s="193">
        <v>8.5999999999999993E-2</v>
      </c>
      <c r="H119" s="363">
        <f>ROUND(E119*$G$119,2)</f>
        <v>7083.4</v>
      </c>
      <c r="I119" s="364">
        <f>ROUND(F119*$G$119,2)</f>
        <v>15659.3</v>
      </c>
    </row>
  </sheetData>
  <mergeCells count="30">
    <mergeCell ref="C111:D111"/>
    <mergeCell ref="C112:D112"/>
    <mergeCell ref="C105:D105"/>
    <mergeCell ref="C106:D106"/>
    <mergeCell ref="C107:D107"/>
    <mergeCell ref="C108:D108"/>
    <mergeCell ref="C109:D109"/>
    <mergeCell ref="C110:D110"/>
    <mergeCell ref="C104:D104"/>
    <mergeCell ref="R18:R19"/>
    <mergeCell ref="H32:I32"/>
    <mergeCell ref="J32:K32"/>
    <mergeCell ref="E66:G66"/>
    <mergeCell ref="H66:J66"/>
    <mergeCell ref="C75:D75"/>
    <mergeCell ref="B81:C81"/>
    <mergeCell ref="B82:D82"/>
    <mergeCell ref="B83:D83"/>
    <mergeCell ref="B84:D84"/>
    <mergeCell ref="C15:D15"/>
    <mergeCell ref="B2:C2"/>
    <mergeCell ref="B3:C3"/>
    <mergeCell ref="B4:C4"/>
    <mergeCell ref="C8:D8"/>
    <mergeCell ref="C9:D9"/>
    <mergeCell ref="C10:D10"/>
    <mergeCell ref="C11:D11"/>
    <mergeCell ref="C12:D12"/>
    <mergeCell ref="C13:D13"/>
    <mergeCell ref="C14:D14"/>
  </mergeCells>
  <dataValidations count="4">
    <dataValidation type="list" allowBlank="1" showInputMessage="1" showErrorMessage="1" sqref="C20:C21">
      <formula1>Location</formula1>
    </dataValidation>
    <dataValidation type="list" allowBlank="1" showInputMessage="1" showErrorMessage="1" errorTitle="Entry Error" error="You must select a value from the drop down box." sqref="I20:I21">
      <formula1>$Z$21:$Z$22</formula1>
    </dataValidation>
    <dataValidation type="list" allowBlank="1" showInputMessage="1" showErrorMessage="1" errorTitle="Entry Error" error="You must select a value from the drop down box." sqref="J20:K21">
      <formula1>$Y$21:$Y$22</formula1>
    </dataValidation>
    <dataValidation type="list" allowBlank="1" showInputMessage="1" showErrorMessage="1" errorTitle="Entry Error" error="You must select a value from the drop down box." sqref="H20:H27">
      <formula1>$C$69:$C$72</formula1>
    </dataValidation>
  </dataValidations>
  <pageMargins left="0.45" right="0.45" top="0.75" bottom="0.75" header="0.3" footer="0.3"/>
  <pageSetup scale="41" fitToHeight="2" orientation="landscape" r:id="rId1"/>
  <rowBreaks count="1" manualBreakCount="1">
    <brk id="65" max="17"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Entry Error" error="You must select a value from the drop down box.">
          <x14:formula1>
            <xm:f>'Dates-Rates'!$A$48:$A$49</xm:f>
          </x14:formula1>
          <xm:sqref>J22:K27</xm:sqref>
        </x14:dataValidation>
        <x14:dataValidation type="list" allowBlank="1" showInputMessage="1" showErrorMessage="1" errorTitle="Entry Error" error="You must select a value from the drop down box.">
          <x14:formula1>
            <xm:f>'Dates-Rates'!$B$48:$B$49</xm:f>
          </x14:formula1>
          <xm:sqref>I22:I27</xm:sqref>
        </x14:dataValidation>
        <x14:dataValidation type="list" allowBlank="1" showInputMessage="1" showErrorMessage="1">
          <x14:formula1>
            <xm:f>'Dates-Rates'!$C$48:$C$52</xm:f>
          </x14:formula1>
          <xm:sqref>C22:C27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67"/>
  <sheetViews>
    <sheetView workbookViewId="0">
      <selection activeCell="E78" sqref="E78"/>
    </sheetView>
  </sheetViews>
  <sheetFormatPr defaultColWidth="9.109375" defaultRowHeight="14.4" x14ac:dyDescent="0.3"/>
  <cols>
    <col min="1" max="4" width="9.109375" style="110"/>
    <col min="5" max="5" width="44.33203125" style="110" bestFit="1" customWidth="1"/>
    <col min="6" max="6" width="9.109375" style="110"/>
    <col min="7" max="7" width="10" style="110" bestFit="1" customWidth="1"/>
    <col min="8" max="16384" width="9.109375" style="110"/>
  </cols>
  <sheetData>
    <row r="1" spans="1:10" ht="15" x14ac:dyDescent="0.25">
      <c r="A1" s="110" t="s">
        <v>127</v>
      </c>
    </row>
    <row r="2" spans="1:10" ht="15" x14ac:dyDescent="0.25">
      <c r="A2" s="110" t="s">
        <v>440</v>
      </c>
    </row>
    <row r="3" spans="1:10" ht="15" x14ac:dyDescent="0.25">
      <c r="A3" s="110" t="s">
        <v>441</v>
      </c>
    </row>
    <row r="4" spans="1:10" ht="15" x14ac:dyDescent="0.25">
      <c r="A4" s="110" t="s">
        <v>128</v>
      </c>
    </row>
    <row r="5" spans="1:10" ht="15" x14ac:dyDescent="0.25">
      <c r="A5" s="110" t="s">
        <v>442</v>
      </c>
    </row>
    <row r="6" spans="1:10" ht="15" x14ac:dyDescent="0.25">
      <c r="A6" s="110" t="s">
        <v>129</v>
      </c>
    </row>
    <row r="7" spans="1:10" ht="15" x14ac:dyDescent="0.25">
      <c r="A7" s="110" t="s">
        <v>130</v>
      </c>
    </row>
    <row r="8" spans="1:10" ht="15" x14ac:dyDescent="0.25">
      <c r="A8" s="110" t="s">
        <v>443</v>
      </c>
    </row>
    <row r="9" spans="1:10" ht="15" x14ac:dyDescent="0.25">
      <c r="A9" s="110" t="s">
        <v>131</v>
      </c>
    </row>
    <row r="10" spans="1:10" ht="15" x14ac:dyDescent="0.25">
      <c r="A10" s="110" t="s">
        <v>132</v>
      </c>
    </row>
    <row r="11" spans="1:10" ht="15" x14ac:dyDescent="0.25">
      <c r="A11" s="110" t="s">
        <v>444</v>
      </c>
    </row>
    <row r="13" spans="1:10" ht="15" x14ac:dyDescent="0.25">
      <c r="A13" s="110" t="s">
        <v>133</v>
      </c>
      <c r="B13" s="110" t="s">
        <v>134</v>
      </c>
      <c r="C13" s="110" t="s">
        <v>135</v>
      </c>
      <c r="D13" s="110" t="s">
        <v>3</v>
      </c>
      <c r="E13" s="110" t="s">
        <v>2</v>
      </c>
      <c r="F13" s="110" t="s">
        <v>136</v>
      </c>
      <c r="G13" s="110" t="s">
        <v>137</v>
      </c>
      <c r="H13" s="110" t="s">
        <v>138</v>
      </c>
      <c r="I13" s="110" t="s">
        <v>139</v>
      </c>
      <c r="J13" s="110" t="s">
        <v>140</v>
      </c>
    </row>
    <row r="14" spans="1:10" ht="15" x14ac:dyDescent="0.25">
      <c r="A14" s="110" t="str">
        <f t="shared" ref="A14:A77" si="0">"B000"</f>
        <v>B000</v>
      </c>
      <c r="B14" s="110" t="str">
        <f t="shared" ref="B14:B77" si="1">"000"</f>
        <v>000</v>
      </c>
      <c r="C14" s="110" t="str">
        <f t="shared" ref="C14:C27" si="2">"00"</f>
        <v>00</v>
      </c>
      <c r="D14" s="110" t="str">
        <f>"2511"</f>
        <v>2511</v>
      </c>
      <c r="E14" s="110" t="s">
        <v>141</v>
      </c>
      <c r="F14" s="110">
        <v>0</v>
      </c>
      <c r="G14" s="110">
        <v>0</v>
      </c>
      <c r="H14" s="110">
        <v>0</v>
      </c>
      <c r="I14" s="110">
        <v>0</v>
      </c>
      <c r="J14" s="110" t="s">
        <v>142</v>
      </c>
    </row>
    <row r="15" spans="1:10" ht="15" x14ac:dyDescent="0.25">
      <c r="A15" s="110" t="str">
        <f t="shared" si="0"/>
        <v>B000</v>
      </c>
      <c r="B15" s="110" t="str">
        <f t="shared" si="1"/>
        <v>000</v>
      </c>
      <c r="C15" s="110" t="str">
        <f t="shared" si="2"/>
        <v>00</v>
      </c>
      <c r="D15" s="110" t="str">
        <f>"2512"</f>
        <v>2512</v>
      </c>
      <c r="E15" s="110" t="s">
        <v>143</v>
      </c>
      <c r="F15" s="110">
        <v>0</v>
      </c>
      <c r="G15" s="110">
        <v>0</v>
      </c>
      <c r="H15" s="110">
        <v>0</v>
      </c>
      <c r="I15" s="110">
        <v>0</v>
      </c>
      <c r="J15" s="110" t="s">
        <v>142</v>
      </c>
    </row>
    <row r="16" spans="1:10" ht="15" x14ac:dyDescent="0.25">
      <c r="A16" s="110" t="str">
        <f t="shared" si="0"/>
        <v>B000</v>
      </c>
      <c r="B16" s="110" t="str">
        <f t="shared" si="1"/>
        <v>000</v>
      </c>
      <c r="C16" s="110" t="str">
        <f t="shared" si="2"/>
        <v>00</v>
      </c>
      <c r="D16" s="110" t="str">
        <f>"3500"</f>
        <v>3500</v>
      </c>
      <c r="E16" s="110" t="s">
        <v>144</v>
      </c>
      <c r="F16" s="28">
        <v>6814282</v>
      </c>
      <c r="G16" s="28">
        <v>6814282</v>
      </c>
      <c r="H16" s="28">
        <v>6814282</v>
      </c>
      <c r="I16" s="28">
        <v>6814282</v>
      </c>
      <c r="J16" s="110" t="s">
        <v>142</v>
      </c>
    </row>
    <row r="17" spans="1:10" ht="15" x14ac:dyDescent="0.25">
      <c r="A17" s="110" t="str">
        <f t="shared" si="0"/>
        <v>B000</v>
      </c>
      <c r="B17" s="110" t="str">
        <f t="shared" si="1"/>
        <v>000</v>
      </c>
      <c r="C17" s="110" t="str">
        <f t="shared" si="2"/>
        <v>00</v>
      </c>
      <c r="D17" s="110" t="str">
        <f>"3501"</f>
        <v>3501</v>
      </c>
      <c r="E17" s="110" t="s">
        <v>445</v>
      </c>
      <c r="F17" s="110">
        <v>0</v>
      </c>
      <c r="G17" s="110">
        <v>0</v>
      </c>
      <c r="H17" s="110">
        <v>0</v>
      </c>
      <c r="I17" s="110">
        <v>0</v>
      </c>
      <c r="J17" s="110" t="s">
        <v>142</v>
      </c>
    </row>
    <row r="18" spans="1:10" ht="15" x14ac:dyDescent="0.25">
      <c r="A18" s="110" t="str">
        <f t="shared" si="0"/>
        <v>B000</v>
      </c>
      <c r="B18" s="110" t="str">
        <f t="shared" si="1"/>
        <v>000</v>
      </c>
      <c r="C18" s="110" t="str">
        <f t="shared" si="2"/>
        <v>00</v>
      </c>
      <c r="D18" s="110" t="str">
        <f>"3502"</f>
        <v>3502</v>
      </c>
      <c r="E18" s="110" t="s">
        <v>446</v>
      </c>
      <c r="F18" s="28">
        <v>304726</v>
      </c>
      <c r="G18" s="28">
        <v>304726</v>
      </c>
      <c r="H18" s="28">
        <v>304726</v>
      </c>
      <c r="I18" s="28">
        <v>304726</v>
      </c>
      <c r="J18" s="110" t="s">
        <v>142</v>
      </c>
    </row>
    <row r="19" spans="1:10" ht="15" x14ac:dyDescent="0.25">
      <c r="A19" s="110" t="str">
        <f t="shared" si="0"/>
        <v>B000</v>
      </c>
      <c r="B19" s="110" t="str">
        <f t="shared" si="1"/>
        <v>000</v>
      </c>
      <c r="C19" s="110" t="str">
        <f t="shared" si="2"/>
        <v>00</v>
      </c>
      <c r="D19" s="110" t="str">
        <f>"3503"</f>
        <v>3503</v>
      </c>
      <c r="E19" s="110" t="s">
        <v>447</v>
      </c>
      <c r="F19" s="28">
        <v>654402</v>
      </c>
      <c r="G19" s="28">
        <v>654402</v>
      </c>
      <c r="H19" s="28">
        <v>654402</v>
      </c>
      <c r="I19" s="28">
        <v>654402</v>
      </c>
      <c r="J19" s="110" t="s">
        <v>142</v>
      </c>
    </row>
    <row r="20" spans="1:10" ht="15" x14ac:dyDescent="0.25">
      <c r="A20" s="110" t="str">
        <f t="shared" si="0"/>
        <v>B000</v>
      </c>
      <c r="B20" s="110" t="str">
        <f t="shared" si="1"/>
        <v>000</v>
      </c>
      <c r="C20" s="110" t="str">
        <f t="shared" si="2"/>
        <v>00</v>
      </c>
      <c r="D20" s="110" t="str">
        <f>"3504"</f>
        <v>3504</v>
      </c>
      <c r="E20" s="110" t="s">
        <v>145</v>
      </c>
      <c r="F20" s="28">
        <v>2025520</v>
      </c>
      <c r="G20" s="28">
        <v>2025520</v>
      </c>
      <c r="H20" s="28">
        <v>2025520</v>
      </c>
      <c r="I20" s="28">
        <v>2025520</v>
      </c>
      <c r="J20" s="110" t="s">
        <v>142</v>
      </c>
    </row>
    <row r="21" spans="1:10" ht="15" x14ac:dyDescent="0.25">
      <c r="A21" s="110" t="str">
        <f t="shared" si="0"/>
        <v>B000</v>
      </c>
      <c r="B21" s="110" t="str">
        <f t="shared" si="1"/>
        <v>000</v>
      </c>
      <c r="C21" s="110" t="str">
        <f t="shared" si="2"/>
        <v>00</v>
      </c>
      <c r="D21" s="110" t="str">
        <f>"3507"</f>
        <v>3507</v>
      </c>
      <c r="E21" s="110" t="s">
        <v>146</v>
      </c>
      <c r="F21" s="28">
        <v>1214687</v>
      </c>
      <c r="G21" s="28">
        <v>1214687</v>
      </c>
      <c r="H21" s="28">
        <v>1214687</v>
      </c>
      <c r="I21" s="28">
        <v>1214687</v>
      </c>
      <c r="J21" s="110" t="s">
        <v>142</v>
      </c>
    </row>
    <row r="22" spans="1:10" ht="15" x14ac:dyDescent="0.25">
      <c r="A22" s="110" t="str">
        <f t="shared" si="0"/>
        <v>B000</v>
      </c>
      <c r="B22" s="110" t="str">
        <f t="shared" si="1"/>
        <v>000</v>
      </c>
      <c r="C22" s="110" t="str">
        <f t="shared" si="2"/>
        <v>00</v>
      </c>
      <c r="D22" s="110" t="str">
        <f>"3511"</f>
        <v>3511</v>
      </c>
      <c r="E22" s="110" t="s">
        <v>147</v>
      </c>
      <c r="F22" s="28">
        <v>167994</v>
      </c>
      <c r="G22" s="28">
        <v>167994</v>
      </c>
      <c r="H22" s="28">
        <v>167994</v>
      </c>
      <c r="I22" s="28">
        <v>167994</v>
      </c>
      <c r="J22" s="110" t="s">
        <v>142</v>
      </c>
    </row>
    <row r="23" spans="1:10" ht="15" x14ac:dyDescent="0.25">
      <c r="A23" s="110" t="str">
        <f t="shared" si="0"/>
        <v>B000</v>
      </c>
      <c r="B23" s="110" t="str">
        <f t="shared" si="1"/>
        <v>000</v>
      </c>
      <c r="C23" s="110" t="str">
        <f t="shared" si="2"/>
        <v>00</v>
      </c>
      <c r="D23" s="110" t="str">
        <f>"3520"</f>
        <v>3520</v>
      </c>
      <c r="E23" s="110" t="s">
        <v>148</v>
      </c>
      <c r="F23" s="110">
        <v>0</v>
      </c>
      <c r="G23" s="110">
        <v>0</v>
      </c>
      <c r="H23" s="110">
        <v>0</v>
      </c>
      <c r="I23" s="110">
        <v>0</v>
      </c>
      <c r="J23" s="110" t="s">
        <v>142</v>
      </c>
    </row>
    <row r="24" spans="1:10" ht="15" x14ac:dyDescent="0.25">
      <c r="A24" s="110" t="str">
        <f t="shared" si="0"/>
        <v>B000</v>
      </c>
      <c r="B24" s="110" t="str">
        <f t="shared" si="1"/>
        <v>000</v>
      </c>
      <c r="C24" s="110" t="str">
        <f t="shared" si="2"/>
        <v>00</v>
      </c>
      <c r="D24" s="110" t="str">
        <f>"3708"</f>
        <v>3708</v>
      </c>
      <c r="E24" s="110" t="s">
        <v>149</v>
      </c>
      <c r="F24" s="28">
        <v>9500</v>
      </c>
      <c r="G24" s="28">
        <v>9500</v>
      </c>
      <c r="H24" s="28">
        <v>9500</v>
      </c>
      <c r="I24" s="28">
        <v>9500</v>
      </c>
      <c r="J24" s="110" t="s">
        <v>142</v>
      </c>
    </row>
    <row r="25" spans="1:10" ht="15" x14ac:dyDescent="0.25">
      <c r="A25" s="110" t="str">
        <f t="shared" si="0"/>
        <v>B000</v>
      </c>
      <c r="B25" s="110" t="str">
        <f t="shared" si="1"/>
        <v>000</v>
      </c>
      <c r="C25" s="110" t="str">
        <f t="shared" si="2"/>
        <v>00</v>
      </c>
      <c r="D25" s="110" t="str">
        <f>"3717"</f>
        <v>3717</v>
      </c>
      <c r="E25" s="110" t="s">
        <v>150</v>
      </c>
      <c r="F25" s="28">
        <v>2000</v>
      </c>
      <c r="G25" s="28">
        <v>2000</v>
      </c>
      <c r="H25" s="28">
        <v>2000</v>
      </c>
      <c r="I25" s="28">
        <v>2000</v>
      </c>
      <c r="J25" s="110" t="s">
        <v>142</v>
      </c>
    </row>
    <row r="26" spans="1:10" ht="15" x14ac:dyDescent="0.25">
      <c r="A26" s="110" t="str">
        <f t="shared" si="0"/>
        <v>B000</v>
      </c>
      <c r="B26" s="110" t="str">
        <f t="shared" si="1"/>
        <v>000</v>
      </c>
      <c r="C26" s="110" t="str">
        <f t="shared" si="2"/>
        <v>00</v>
      </c>
      <c r="D26" s="110" t="str">
        <f>"4669"</f>
        <v>4669</v>
      </c>
      <c r="E26" s="110" t="s">
        <v>151</v>
      </c>
      <c r="F26" s="28">
        <v>345723</v>
      </c>
      <c r="G26" s="28">
        <v>155780</v>
      </c>
      <c r="H26" s="28">
        <v>345723</v>
      </c>
      <c r="I26" s="28">
        <v>345723</v>
      </c>
      <c r="J26" s="110" t="s">
        <v>142</v>
      </c>
    </row>
    <row r="27" spans="1:10" ht="15" x14ac:dyDescent="0.25">
      <c r="A27" s="110" t="str">
        <f t="shared" si="0"/>
        <v>B000</v>
      </c>
      <c r="B27" s="110" t="str">
        <f t="shared" si="1"/>
        <v>000</v>
      </c>
      <c r="C27" s="110" t="str">
        <f t="shared" si="2"/>
        <v>00</v>
      </c>
      <c r="D27" s="110" t="str">
        <f>"4740"</f>
        <v>4740</v>
      </c>
      <c r="E27" s="110" t="s">
        <v>152</v>
      </c>
      <c r="F27" s="28">
        <v>32047</v>
      </c>
      <c r="G27" s="28">
        <v>32687</v>
      </c>
      <c r="H27" s="28">
        <v>32047</v>
      </c>
      <c r="I27" s="28">
        <v>32047</v>
      </c>
      <c r="J27" s="110" t="s">
        <v>142</v>
      </c>
    </row>
    <row r="28" spans="1:10" ht="15" x14ac:dyDescent="0.25">
      <c r="A28" s="110" t="str">
        <f t="shared" si="0"/>
        <v>B000</v>
      </c>
      <c r="B28" s="110" t="str">
        <f t="shared" si="1"/>
        <v>000</v>
      </c>
      <c r="C28" s="110" t="str">
        <f t="shared" ref="C28:C41" si="3">"01"</f>
        <v>01</v>
      </c>
      <c r="D28" s="110" t="str">
        <f>"5100"</f>
        <v>5100</v>
      </c>
      <c r="E28" s="110" t="s">
        <v>153</v>
      </c>
      <c r="F28" s="28">
        <v>1143305</v>
      </c>
      <c r="G28" s="28">
        <v>1048104</v>
      </c>
      <c r="H28" s="28">
        <v>1143305</v>
      </c>
      <c r="I28" s="28">
        <v>1143305</v>
      </c>
      <c r="J28" s="110" t="s">
        <v>154</v>
      </c>
    </row>
    <row r="29" spans="1:10" ht="15" x14ac:dyDescent="0.25">
      <c r="A29" s="110" t="str">
        <f t="shared" si="0"/>
        <v>B000</v>
      </c>
      <c r="B29" s="110" t="str">
        <f t="shared" si="1"/>
        <v>000</v>
      </c>
      <c r="C29" s="110" t="str">
        <f t="shared" si="3"/>
        <v>01</v>
      </c>
      <c r="D29" s="110" t="str">
        <f>"5200"</f>
        <v>5200</v>
      </c>
      <c r="E29" s="110" t="s">
        <v>155</v>
      </c>
      <c r="F29" s="28">
        <v>17625</v>
      </c>
      <c r="G29" s="28">
        <v>15651</v>
      </c>
      <c r="H29" s="28">
        <v>17625</v>
      </c>
      <c r="I29" s="28">
        <v>17625</v>
      </c>
      <c r="J29" s="110" t="s">
        <v>154</v>
      </c>
    </row>
    <row r="30" spans="1:10" ht="15" x14ac:dyDescent="0.25">
      <c r="A30" s="110" t="str">
        <f t="shared" si="0"/>
        <v>B000</v>
      </c>
      <c r="B30" s="110" t="str">
        <f t="shared" si="1"/>
        <v>000</v>
      </c>
      <c r="C30" s="110" t="str">
        <f t="shared" si="3"/>
        <v>01</v>
      </c>
      <c r="D30" s="110" t="str">
        <f>"5300"</f>
        <v>5300</v>
      </c>
      <c r="E30" s="110" t="s">
        <v>156</v>
      </c>
      <c r="F30" s="28">
        <v>190707</v>
      </c>
      <c r="G30" s="28">
        <v>166823</v>
      </c>
      <c r="H30" s="28">
        <v>190707</v>
      </c>
      <c r="I30" s="28">
        <v>190707</v>
      </c>
      <c r="J30" s="110" t="s">
        <v>154</v>
      </c>
    </row>
    <row r="31" spans="1:10" ht="15" x14ac:dyDescent="0.25">
      <c r="A31" s="110" t="str">
        <f t="shared" si="0"/>
        <v>B000</v>
      </c>
      <c r="B31" s="110" t="str">
        <f t="shared" si="1"/>
        <v>000</v>
      </c>
      <c r="C31" s="110" t="str">
        <f t="shared" si="3"/>
        <v>01</v>
      </c>
      <c r="D31" s="110" t="str">
        <f>"5400"</f>
        <v>5400</v>
      </c>
      <c r="E31" s="110" t="s">
        <v>157</v>
      </c>
      <c r="F31" s="28">
        <v>4844</v>
      </c>
      <c r="G31" s="28">
        <v>4782</v>
      </c>
      <c r="H31" s="28">
        <v>4844</v>
      </c>
      <c r="I31" s="28">
        <v>4844</v>
      </c>
      <c r="J31" s="110" t="s">
        <v>154</v>
      </c>
    </row>
    <row r="32" spans="1:10" ht="15" x14ac:dyDescent="0.25">
      <c r="A32" s="110" t="str">
        <f t="shared" si="0"/>
        <v>B000</v>
      </c>
      <c r="B32" s="110" t="str">
        <f t="shared" si="1"/>
        <v>000</v>
      </c>
      <c r="C32" s="110" t="str">
        <f t="shared" si="3"/>
        <v>01</v>
      </c>
      <c r="D32" s="110" t="str">
        <f>"5500"</f>
        <v>5500</v>
      </c>
      <c r="E32" s="110" t="s">
        <v>158</v>
      </c>
      <c r="F32" s="28">
        <v>178320</v>
      </c>
      <c r="G32" s="28">
        <v>160038</v>
      </c>
      <c r="H32" s="28">
        <v>178320</v>
      </c>
      <c r="I32" s="28">
        <v>178320</v>
      </c>
      <c r="J32" s="110" t="s">
        <v>154</v>
      </c>
    </row>
    <row r="33" spans="1:10" ht="15" x14ac:dyDescent="0.25">
      <c r="A33" s="110" t="str">
        <f t="shared" si="0"/>
        <v>B000</v>
      </c>
      <c r="B33" s="110" t="str">
        <f t="shared" si="1"/>
        <v>000</v>
      </c>
      <c r="C33" s="110" t="str">
        <f t="shared" si="3"/>
        <v>01</v>
      </c>
      <c r="D33" s="110" t="str">
        <f>"5700"</f>
        <v>5700</v>
      </c>
      <c r="E33" s="110" t="s">
        <v>159</v>
      </c>
      <c r="F33" s="28">
        <v>1594</v>
      </c>
      <c r="G33" s="28">
        <v>1495</v>
      </c>
      <c r="H33" s="28">
        <v>1594</v>
      </c>
      <c r="I33" s="28">
        <v>1594</v>
      </c>
      <c r="J33" s="110" t="s">
        <v>154</v>
      </c>
    </row>
    <row r="34" spans="1:10" ht="15" x14ac:dyDescent="0.25">
      <c r="A34" s="110" t="str">
        <f t="shared" si="0"/>
        <v>B000</v>
      </c>
      <c r="B34" s="110" t="str">
        <f t="shared" si="1"/>
        <v>000</v>
      </c>
      <c r="C34" s="110" t="str">
        <f t="shared" si="3"/>
        <v>01</v>
      </c>
      <c r="D34" s="110" t="str">
        <f>"5750"</f>
        <v>5750</v>
      </c>
      <c r="E34" s="110" t="s">
        <v>160</v>
      </c>
      <c r="F34" s="28">
        <v>28354</v>
      </c>
      <c r="G34" s="28">
        <v>26619</v>
      </c>
      <c r="H34" s="28">
        <v>28354</v>
      </c>
      <c r="I34" s="28">
        <v>28354</v>
      </c>
      <c r="J34" s="110" t="s">
        <v>154</v>
      </c>
    </row>
    <row r="35" spans="1:10" ht="15" x14ac:dyDescent="0.25">
      <c r="A35" s="110" t="str">
        <f t="shared" si="0"/>
        <v>B000</v>
      </c>
      <c r="B35" s="110" t="str">
        <f t="shared" si="1"/>
        <v>000</v>
      </c>
      <c r="C35" s="110" t="str">
        <f t="shared" si="3"/>
        <v>01</v>
      </c>
      <c r="D35" s="110" t="str">
        <f>"5800"</f>
        <v>5800</v>
      </c>
      <c r="E35" s="110" t="s">
        <v>161</v>
      </c>
      <c r="F35" s="28">
        <v>1260</v>
      </c>
      <c r="G35" s="28">
        <v>1521</v>
      </c>
      <c r="H35" s="28">
        <v>1260</v>
      </c>
      <c r="I35" s="28">
        <v>1260</v>
      </c>
      <c r="J35" s="110" t="s">
        <v>154</v>
      </c>
    </row>
    <row r="36" spans="1:10" x14ac:dyDescent="0.3">
      <c r="A36" s="110" t="str">
        <f t="shared" si="0"/>
        <v>B000</v>
      </c>
      <c r="B36" s="110" t="str">
        <f t="shared" si="1"/>
        <v>000</v>
      </c>
      <c r="C36" s="110" t="str">
        <f t="shared" si="3"/>
        <v>01</v>
      </c>
      <c r="D36" s="110" t="str">
        <f>"5810"</f>
        <v>5810</v>
      </c>
      <c r="E36" s="110" t="s">
        <v>162</v>
      </c>
      <c r="F36" s="110">
        <v>0</v>
      </c>
      <c r="G36" s="110">
        <v>0</v>
      </c>
      <c r="H36" s="110">
        <v>0</v>
      </c>
      <c r="I36" s="110">
        <v>0</v>
      </c>
      <c r="J36" s="110" t="s">
        <v>142</v>
      </c>
    </row>
    <row r="37" spans="1:10" x14ac:dyDescent="0.3">
      <c r="A37" s="110" t="str">
        <f t="shared" si="0"/>
        <v>B000</v>
      </c>
      <c r="B37" s="110" t="str">
        <f t="shared" si="1"/>
        <v>000</v>
      </c>
      <c r="C37" s="110" t="str">
        <f t="shared" si="3"/>
        <v>01</v>
      </c>
      <c r="D37" s="110" t="str">
        <f>"5840"</f>
        <v>5840</v>
      </c>
      <c r="E37" s="110" t="s">
        <v>163</v>
      </c>
      <c r="F37" s="28">
        <v>16579</v>
      </c>
      <c r="G37" s="28">
        <v>15200</v>
      </c>
      <c r="H37" s="28">
        <v>16579</v>
      </c>
      <c r="I37" s="28">
        <v>16579</v>
      </c>
      <c r="J37" s="110" t="s">
        <v>154</v>
      </c>
    </row>
    <row r="38" spans="1:10" x14ac:dyDescent="0.3">
      <c r="A38" s="110" t="str">
        <f t="shared" si="0"/>
        <v>B000</v>
      </c>
      <c r="B38" s="110" t="str">
        <f t="shared" si="1"/>
        <v>000</v>
      </c>
      <c r="C38" s="110" t="str">
        <f t="shared" si="3"/>
        <v>01</v>
      </c>
      <c r="D38" s="110" t="str">
        <f>"5910"</f>
        <v>5910</v>
      </c>
      <c r="E38" s="110" t="s">
        <v>164</v>
      </c>
      <c r="F38" s="28">
        <v>9222</v>
      </c>
      <c r="G38" s="28">
        <v>9222</v>
      </c>
      <c r="H38" s="28">
        <v>9222</v>
      </c>
      <c r="I38" s="28">
        <v>9222</v>
      </c>
      <c r="J38" s="110" t="s">
        <v>142</v>
      </c>
    </row>
    <row r="39" spans="1:10" x14ac:dyDescent="0.3">
      <c r="A39" s="110" t="str">
        <f t="shared" si="0"/>
        <v>B000</v>
      </c>
      <c r="B39" s="110" t="str">
        <f t="shared" si="1"/>
        <v>000</v>
      </c>
      <c r="C39" s="110" t="str">
        <f t="shared" si="3"/>
        <v>01</v>
      </c>
      <c r="D39" s="110" t="str">
        <f>"5929"</f>
        <v>5929</v>
      </c>
      <c r="E39" s="110" t="s">
        <v>165</v>
      </c>
      <c r="F39" s="110">
        <v>0</v>
      </c>
      <c r="G39" s="110">
        <v>0</v>
      </c>
      <c r="H39" s="110">
        <v>0</v>
      </c>
      <c r="I39" s="110">
        <v>0</v>
      </c>
      <c r="J39" s="110" t="s">
        <v>142</v>
      </c>
    </row>
    <row r="40" spans="1:10" x14ac:dyDescent="0.3">
      <c r="A40" s="110" t="str">
        <f t="shared" si="0"/>
        <v>B000</v>
      </c>
      <c r="B40" s="110" t="str">
        <f t="shared" si="1"/>
        <v>000</v>
      </c>
      <c r="C40" s="110" t="str">
        <f t="shared" si="3"/>
        <v>01</v>
      </c>
      <c r="D40" s="110" t="str">
        <f>"5930"</f>
        <v>5930</v>
      </c>
      <c r="E40" s="110" t="s">
        <v>166</v>
      </c>
      <c r="F40" s="110">
        <v>0</v>
      </c>
      <c r="G40" s="110">
        <v>0</v>
      </c>
      <c r="H40" s="110">
        <v>0</v>
      </c>
      <c r="I40" s="110">
        <v>0</v>
      </c>
      <c r="J40" s="110" t="s">
        <v>167</v>
      </c>
    </row>
    <row r="41" spans="1:10" x14ac:dyDescent="0.3">
      <c r="A41" s="110" t="str">
        <f t="shared" si="0"/>
        <v>B000</v>
      </c>
      <c r="B41" s="110" t="str">
        <f t="shared" si="1"/>
        <v>000</v>
      </c>
      <c r="C41" s="110" t="str">
        <f t="shared" si="3"/>
        <v>01</v>
      </c>
      <c r="D41" s="110" t="str">
        <f>"5970"</f>
        <v>5970</v>
      </c>
      <c r="E41" s="110" t="s">
        <v>168</v>
      </c>
      <c r="F41" s="110">
        <v>0</v>
      </c>
      <c r="G41" s="110">
        <v>0</v>
      </c>
      <c r="H41" s="110">
        <v>0</v>
      </c>
      <c r="I41" s="110">
        <v>0</v>
      </c>
      <c r="J41" s="110" t="s">
        <v>142</v>
      </c>
    </row>
    <row r="42" spans="1:10" x14ac:dyDescent="0.3">
      <c r="A42" s="110" t="str">
        <f t="shared" si="0"/>
        <v>B000</v>
      </c>
      <c r="B42" s="110" t="str">
        <f t="shared" si="1"/>
        <v>000</v>
      </c>
      <c r="C42" s="110" t="str">
        <f>"03"</f>
        <v>03</v>
      </c>
      <c r="D42" s="110" t="str">
        <f>"6200"</f>
        <v>6200</v>
      </c>
      <c r="E42" s="110" t="s">
        <v>169</v>
      </c>
      <c r="F42" s="110">
        <v>0</v>
      </c>
      <c r="G42" s="110">
        <v>0</v>
      </c>
      <c r="H42" s="110">
        <v>0</v>
      </c>
      <c r="I42" s="110">
        <v>0</v>
      </c>
      <c r="J42" s="110" t="s">
        <v>142</v>
      </c>
    </row>
    <row r="43" spans="1:10" x14ac:dyDescent="0.3">
      <c r="A43" s="110" t="str">
        <f t="shared" si="0"/>
        <v>B000</v>
      </c>
      <c r="B43" s="110" t="str">
        <f t="shared" si="1"/>
        <v>000</v>
      </c>
      <c r="C43" s="110" t="str">
        <f>"03"</f>
        <v>03</v>
      </c>
      <c r="D43" s="110" t="str">
        <f>"6210"</f>
        <v>6210</v>
      </c>
      <c r="E43" s="110" t="s">
        <v>185</v>
      </c>
      <c r="F43" s="110">
        <v>0</v>
      </c>
      <c r="G43" s="110">
        <v>0</v>
      </c>
      <c r="H43" s="110">
        <v>0</v>
      </c>
      <c r="I43" s="110">
        <v>0</v>
      </c>
      <c r="J43" s="110" t="s">
        <v>142</v>
      </c>
    </row>
    <row r="44" spans="1:10" x14ac:dyDescent="0.3">
      <c r="A44" s="110" t="str">
        <f t="shared" si="0"/>
        <v>B000</v>
      </c>
      <c r="B44" s="110" t="str">
        <f t="shared" si="1"/>
        <v>000</v>
      </c>
      <c r="C44" s="110" t="str">
        <f>"03"</f>
        <v>03</v>
      </c>
      <c r="D44" s="110" t="str">
        <f>"6240"</f>
        <v>6240</v>
      </c>
      <c r="E44" s="110" t="s">
        <v>170</v>
      </c>
      <c r="F44" s="110">
        <v>0</v>
      </c>
      <c r="G44" s="110">
        <v>0</v>
      </c>
      <c r="H44" s="110">
        <v>0</v>
      </c>
      <c r="I44" s="110">
        <v>0</v>
      </c>
      <c r="J44" s="110" t="s">
        <v>142</v>
      </c>
    </row>
    <row r="45" spans="1:10" x14ac:dyDescent="0.3">
      <c r="A45" s="110" t="str">
        <f t="shared" si="0"/>
        <v>B000</v>
      </c>
      <c r="B45" s="110" t="str">
        <f t="shared" si="1"/>
        <v>000</v>
      </c>
      <c r="C45" s="110" t="str">
        <f>"03"</f>
        <v>03</v>
      </c>
      <c r="D45" s="110" t="str">
        <f>"6250"</f>
        <v>6250</v>
      </c>
      <c r="E45" s="110" t="s">
        <v>171</v>
      </c>
      <c r="F45" s="110">
        <v>0</v>
      </c>
      <c r="G45" s="110">
        <v>0</v>
      </c>
      <c r="H45" s="110">
        <v>0</v>
      </c>
      <c r="I45" s="110">
        <v>0</v>
      </c>
      <c r="J45" s="110" t="s">
        <v>142</v>
      </c>
    </row>
    <row r="46" spans="1:10" x14ac:dyDescent="0.3">
      <c r="A46" s="110" t="str">
        <f t="shared" si="0"/>
        <v>B000</v>
      </c>
      <c r="B46" s="110" t="str">
        <f t="shared" si="1"/>
        <v>000</v>
      </c>
      <c r="C46" s="110" t="str">
        <f t="shared" ref="C46:C62" si="4">"04"</f>
        <v>04</v>
      </c>
      <c r="D46" s="110" t="str">
        <f>"7020"</f>
        <v>7020</v>
      </c>
      <c r="E46" s="110" t="s">
        <v>11</v>
      </c>
      <c r="F46" s="110">
        <v>0</v>
      </c>
      <c r="G46" s="110">
        <v>0</v>
      </c>
      <c r="H46" s="110">
        <v>0</v>
      </c>
      <c r="I46" s="110">
        <v>0</v>
      </c>
      <c r="J46" s="110" t="s">
        <v>142</v>
      </c>
    </row>
    <row r="47" spans="1:10" x14ac:dyDescent="0.3">
      <c r="A47" s="110" t="str">
        <f t="shared" si="0"/>
        <v>B000</v>
      </c>
      <c r="B47" s="110" t="str">
        <f t="shared" si="1"/>
        <v>000</v>
      </c>
      <c r="C47" s="110" t="str">
        <f t="shared" si="4"/>
        <v>04</v>
      </c>
      <c r="D47" s="110" t="str">
        <f>"7040"</f>
        <v>7040</v>
      </c>
      <c r="E47" s="110" t="s">
        <v>10</v>
      </c>
      <c r="F47" s="110">
        <v>0</v>
      </c>
      <c r="G47" s="110">
        <v>0</v>
      </c>
      <c r="H47" s="110">
        <v>0</v>
      </c>
      <c r="I47" s="110">
        <v>0</v>
      </c>
      <c r="J47" s="110" t="s">
        <v>142</v>
      </c>
    </row>
    <row r="48" spans="1:10" x14ac:dyDescent="0.3">
      <c r="A48" s="110" t="str">
        <f t="shared" si="0"/>
        <v>B000</v>
      </c>
      <c r="B48" s="110" t="str">
        <f t="shared" si="1"/>
        <v>000</v>
      </c>
      <c r="C48" s="110" t="str">
        <f t="shared" si="4"/>
        <v>04</v>
      </c>
      <c r="D48" s="110" t="str">
        <f>"7044"</f>
        <v>7044</v>
      </c>
      <c r="E48" s="110" t="s">
        <v>448</v>
      </c>
      <c r="F48" s="110">
        <v>47</v>
      </c>
      <c r="G48" s="110">
        <v>47</v>
      </c>
      <c r="H48" s="110">
        <v>47</v>
      </c>
      <c r="I48" s="110">
        <v>47</v>
      </c>
      <c r="J48" s="110" t="s">
        <v>142</v>
      </c>
    </row>
    <row r="49" spans="1:10" x14ac:dyDescent="0.3">
      <c r="A49" s="110" t="str">
        <f t="shared" si="0"/>
        <v>B000</v>
      </c>
      <c r="B49" s="110" t="str">
        <f t="shared" si="1"/>
        <v>000</v>
      </c>
      <c r="C49" s="110" t="str">
        <f t="shared" si="4"/>
        <v>04</v>
      </c>
      <c r="D49" s="110" t="str">
        <f>"7045"</f>
        <v>7045</v>
      </c>
      <c r="E49" s="110" t="s">
        <v>9</v>
      </c>
      <c r="F49" s="110">
        <v>0</v>
      </c>
      <c r="G49" s="110">
        <v>0</v>
      </c>
      <c r="H49" s="110">
        <v>0</v>
      </c>
      <c r="I49" s="110">
        <v>0</v>
      </c>
      <c r="J49" s="110" t="s">
        <v>142</v>
      </c>
    </row>
    <row r="50" spans="1:10" x14ac:dyDescent="0.3">
      <c r="A50" s="110" t="str">
        <f t="shared" si="0"/>
        <v>B000</v>
      </c>
      <c r="B50" s="110" t="str">
        <f t="shared" si="1"/>
        <v>000</v>
      </c>
      <c r="C50" s="110" t="str">
        <f t="shared" si="4"/>
        <v>04</v>
      </c>
      <c r="D50" s="110" t="str">
        <f>"7050"</f>
        <v>7050</v>
      </c>
      <c r="E50" s="110" t="s">
        <v>172</v>
      </c>
      <c r="F50" s="110">
        <v>30</v>
      </c>
      <c r="G50" s="110">
        <v>27</v>
      </c>
      <c r="H50" s="110">
        <v>30</v>
      </c>
      <c r="I50" s="110">
        <v>30</v>
      </c>
      <c r="J50" s="110" t="s">
        <v>154</v>
      </c>
    </row>
    <row r="51" spans="1:10" x14ac:dyDescent="0.3">
      <c r="A51" s="110" t="str">
        <f t="shared" si="0"/>
        <v>B000</v>
      </c>
      <c r="B51" s="110" t="str">
        <f t="shared" si="1"/>
        <v>000</v>
      </c>
      <c r="C51" s="110" t="str">
        <f t="shared" si="4"/>
        <v>04</v>
      </c>
      <c r="D51" s="110" t="str">
        <f>"7054"</f>
        <v>7054</v>
      </c>
      <c r="E51" s="110" t="s">
        <v>173</v>
      </c>
      <c r="F51" s="28">
        <v>1971</v>
      </c>
      <c r="G51" s="28">
        <v>1747</v>
      </c>
      <c r="H51" s="28">
        <v>1971</v>
      </c>
      <c r="I51" s="28">
        <v>1971</v>
      </c>
      <c r="J51" s="110" t="s">
        <v>154</v>
      </c>
    </row>
    <row r="52" spans="1:10" x14ac:dyDescent="0.3">
      <c r="A52" s="110" t="str">
        <f t="shared" si="0"/>
        <v>B000</v>
      </c>
      <c r="B52" s="110" t="str">
        <f t="shared" si="1"/>
        <v>000</v>
      </c>
      <c r="C52" s="110" t="str">
        <f t="shared" si="4"/>
        <v>04</v>
      </c>
      <c r="D52" s="110" t="str">
        <f>"7110"</f>
        <v>7110</v>
      </c>
      <c r="E52" s="110" t="s">
        <v>174</v>
      </c>
      <c r="F52" s="110">
        <v>0</v>
      </c>
      <c r="G52" s="110">
        <v>0</v>
      </c>
      <c r="H52" s="110">
        <v>0</v>
      </c>
      <c r="I52" s="110">
        <v>0</v>
      </c>
      <c r="J52" s="110" t="s">
        <v>175</v>
      </c>
    </row>
    <row r="53" spans="1:10" x14ac:dyDescent="0.3">
      <c r="A53" s="110" t="str">
        <f t="shared" si="0"/>
        <v>B000</v>
      </c>
      <c r="B53" s="110" t="str">
        <f t="shared" si="1"/>
        <v>000</v>
      </c>
      <c r="C53" s="110" t="str">
        <f t="shared" si="4"/>
        <v>04</v>
      </c>
      <c r="D53" s="110" t="str">
        <f>"7138"</f>
        <v>7138</v>
      </c>
      <c r="E53" s="110" t="s">
        <v>177</v>
      </c>
      <c r="F53" s="110">
        <v>0</v>
      </c>
      <c r="G53" s="110">
        <v>0</v>
      </c>
      <c r="H53" s="110">
        <v>0</v>
      </c>
      <c r="I53" s="110">
        <v>0</v>
      </c>
      <c r="J53" s="110" t="s">
        <v>142</v>
      </c>
    </row>
    <row r="54" spans="1:10" x14ac:dyDescent="0.3">
      <c r="A54" s="110" t="str">
        <f t="shared" si="0"/>
        <v>B000</v>
      </c>
      <c r="B54" s="110" t="str">
        <f t="shared" si="1"/>
        <v>000</v>
      </c>
      <c r="C54" s="110" t="str">
        <f t="shared" si="4"/>
        <v>04</v>
      </c>
      <c r="D54" s="110" t="str">
        <f>"7280"</f>
        <v>7280</v>
      </c>
      <c r="E54" s="110" t="s">
        <v>8</v>
      </c>
      <c r="F54" s="110">
        <v>0</v>
      </c>
      <c r="G54" s="110">
        <v>0</v>
      </c>
      <c r="H54" s="110">
        <v>0</v>
      </c>
      <c r="I54" s="110">
        <v>0</v>
      </c>
      <c r="J54" s="110" t="s">
        <v>142</v>
      </c>
    </row>
    <row r="55" spans="1:10" x14ac:dyDescent="0.3">
      <c r="A55" s="110" t="str">
        <f t="shared" si="0"/>
        <v>B000</v>
      </c>
      <c r="B55" s="110" t="str">
        <f t="shared" si="1"/>
        <v>000</v>
      </c>
      <c r="C55" s="110" t="str">
        <f t="shared" si="4"/>
        <v>04</v>
      </c>
      <c r="D55" s="110" t="str">
        <f>"7285"</f>
        <v>7285</v>
      </c>
      <c r="E55" s="110" t="s">
        <v>7</v>
      </c>
      <c r="F55" s="110">
        <v>0</v>
      </c>
      <c r="G55" s="110">
        <v>0</v>
      </c>
      <c r="H55" s="110">
        <v>0</v>
      </c>
      <c r="I55" s="110">
        <v>0</v>
      </c>
      <c r="J55" s="110" t="s">
        <v>142</v>
      </c>
    </row>
    <row r="56" spans="1:10" x14ac:dyDescent="0.3">
      <c r="A56" s="110" t="str">
        <f t="shared" si="0"/>
        <v>B000</v>
      </c>
      <c r="B56" s="110" t="str">
        <f t="shared" si="1"/>
        <v>000</v>
      </c>
      <c r="C56" s="110" t="str">
        <f t="shared" si="4"/>
        <v>04</v>
      </c>
      <c r="D56" s="110" t="str">
        <f>"7290"</f>
        <v>7290</v>
      </c>
      <c r="E56" s="110" t="s">
        <v>0</v>
      </c>
      <c r="F56" s="110">
        <v>0</v>
      </c>
      <c r="G56" s="110">
        <v>0</v>
      </c>
      <c r="H56" s="110">
        <v>0</v>
      </c>
      <c r="I56" s="110">
        <v>0</v>
      </c>
      <c r="J56" s="110" t="s">
        <v>142</v>
      </c>
    </row>
    <row r="57" spans="1:10" x14ac:dyDescent="0.3">
      <c r="A57" s="110" t="str">
        <f t="shared" si="0"/>
        <v>B000</v>
      </c>
      <c r="B57" s="110" t="str">
        <f t="shared" si="1"/>
        <v>000</v>
      </c>
      <c r="C57" s="110" t="str">
        <f t="shared" si="4"/>
        <v>04</v>
      </c>
      <c r="D57" s="110" t="str">
        <f>"7291"</f>
        <v>7291</v>
      </c>
      <c r="E57" s="110" t="s">
        <v>195</v>
      </c>
      <c r="F57" s="110">
        <v>0</v>
      </c>
      <c r="G57" s="110">
        <v>0</v>
      </c>
      <c r="H57" s="110">
        <v>0</v>
      </c>
      <c r="I57" s="110">
        <v>0</v>
      </c>
      <c r="J57" s="110" t="s">
        <v>142</v>
      </c>
    </row>
    <row r="58" spans="1:10" x14ac:dyDescent="0.3">
      <c r="A58" s="110" t="str">
        <f t="shared" si="0"/>
        <v>B000</v>
      </c>
      <c r="B58" s="110" t="str">
        <f t="shared" si="1"/>
        <v>000</v>
      </c>
      <c r="C58" s="110" t="str">
        <f t="shared" si="4"/>
        <v>04</v>
      </c>
      <c r="D58" s="110" t="str">
        <f>"7292"</f>
        <v>7292</v>
      </c>
      <c r="E58" s="110" t="s">
        <v>449</v>
      </c>
      <c r="F58" s="110">
        <v>0</v>
      </c>
      <c r="G58" s="110">
        <v>0</v>
      </c>
      <c r="H58" s="110">
        <v>0</v>
      </c>
      <c r="I58" s="110">
        <v>0</v>
      </c>
      <c r="J58" s="110" t="s">
        <v>179</v>
      </c>
    </row>
    <row r="59" spans="1:10" x14ac:dyDescent="0.3">
      <c r="A59" s="110" t="str">
        <f t="shared" si="0"/>
        <v>B000</v>
      </c>
      <c r="B59" s="110" t="str">
        <f t="shared" si="1"/>
        <v>000</v>
      </c>
      <c r="C59" s="110" t="str">
        <f t="shared" si="4"/>
        <v>04</v>
      </c>
      <c r="D59" s="110" t="str">
        <f>"7294"</f>
        <v>7294</v>
      </c>
      <c r="E59" s="110" t="s">
        <v>6</v>
      </c>
      <c r="F59" s="110">
        <v>0</v>
      </c>
      <c r="G59" s="110">
        <v>0</v>
      </c>
      <c r="H59" s="110">
        <v>0</v>
      </c>
      <c r="I59" s="110">
        <v>0</v>
      </c>
      <c r="J59" s="110" t="s">
        <v>142</v>
      </c>
    </row>
    <row r="60" spans="1:10" x14ac:dyDescent="0.3">
      <c r="A60" s="110" t="str">
        <f t="shared" si="0"/>
        <v>B000</v>
      </c>
      <c r="B60" s="110" t="str">
        <f t="shared" si="1"/>
        <v>000</v>
      </c>
      <c r="C60" s="110" t="str">
        <f t="shared" si="4"/>
        <v>04</v>
      </c>
      <c r="D60" s="110" t="str">
        <f>"7295"</f>
        <v>7295</v>
      </c>
      <c r="E60" s="110" t="s">
        <v>450</v>
      </c>
      <c r="F60" s="110">
        <v>0</v>
      </c>
      <c r="G60" s="110">
        <v>0</v>
      </c>
      <c r="H60" s="110">
        <v>0</v>
      </c>
      <c r="I60" s="110">
        <v>0</v>
      </c>
      <c r="J60" s="110" t="s">
        <v>179</v>
      </c>
    </row>
    <row r="61" spans="1:10" x14ac:dyDescent="0.3">
      <c r="A61" s="110" t="str">
        <f t="shared" si="0"/>
        <v>B000</v>
      </c>
      <c r="B61" s="110" t="str">
        <f t="shared" si="1"/>
        <v>000</v>
      </c>
      <c r="C61" s="110" t="str">
        <f t="shared" si="4"/>
        <v>04</v>
      </c>
      <c r="D61" s="110" t="str">
        <f>"7296"</f>
        <v>7296</v>
      </c>
      <c r="E61" s="110" t="s">
        <v>196</v>
      </c>
      <c r="F61" s="110">
        <v>0</v>
      </c>
      <c r="G61" s="110">
        <v>0</v>
      </c>
      <c r="H61" s="110">
        <v>0</v>
      </c>
      <c r="I61" s="110">
        <v>0</v>
      </c>
      <c r="J61" s="110" t="s">
        <v>142</v>
      </c>
    </row>
    <row r="62" spans="1:10" x14ac:dyDescent="0.3">
      <c r="A62" s="110" t="str">
        <f t="shared" si="0"/>
        <v>B000</v>
      </c>
      <c r="B62" s="110" t="str">
        <f t="shared" si="1"/>
        <v>000</v>
      </c>
      <c r="C62" s="110" t="str">
        <f t="shared" si="4"/>
        <v>04</v>
      </c>
      <c r="D62" s="110" t="str">
        <f>"7340"</f>
        <v>7340</v>
      </c>
      <c r="E62" s="110" t="s">
        <v>4</v>
      </c>
      <c r="F62" s="110">
        <v>0</v>
      </c>
      <c r="G62" s="110">
        <v>0</v>
      </c>
      <c r="H62" s="110">
        <v>0</v>
      </c>
      <c r="I62" s="110">
        <v>0</v>
      </c>
      <c r="J62" s="110" t="s">
        <v>142</v>
      </c>
    </row>
    <row r="63" spans="1:10" x14ac:dyDescent="0.3">
      <c r="A63" s="110" t="str">
        <f t="shared" si="0"/>
        <v>B000</v>
      </c>
      <c r="B63" s="110" t="str">
        <f t="shared" si="1"/>
        <v>000</v>
      </c>
      <c r="C63" s="110" t="str">
        <f>"05"</f>
        <v>05</v>
      </c>
      <c r="D63" s="110" t="str">
        <f>"7460"</f>
        <v>7460</v>
      </c>
      <c r="E63" s="110" t="s">
        <v>228</v>
      </c>
      <c r="F63" s="110">
        <v>0</v>
      </c>
      <c r="G63" s="110">
        <v>0</v>
      </c>
      <c r="H63" s="110">
        <v>0</v>
      </c>
      <c r="I63" s="110">
        <v>0</v>
      </c>
      <c r="J63" s="110" t="s">
        <v>203</v>
      </c>
    </row>
    <row r="64" spans="1:10" x14ac:dyDescent="0.3">
      <c r="A64" s="110" t="str">
        <f t="shared" si="0"/>
        <v>B000</v>
      </c>
      <c r="B64" s="110" t="str">
        <f t="shared" si="1"/>
        <v>000</v>
      </c>
      <c r="C64" s="110" t="str">
        <f t="shared" ref="C64:C84" si="5">"08"</f>
        <v>08</v>
      </c>
      <c r="D64" s="110" t="str">
        <f>"6100"</f>
        <v>6100</v>
      </c>
      <c r="E64" s="110" t="s">
        <v>181</v>
      </c>
      <c r="F64" s="28">
        <v>3408</v>
      </c>
      <c r="G64" s="110">
        <v>318</v>
      </c>
      <c r="H64" s="28">
        <v>3408</v>
      </c>
      <c r="I64" s="28">
        <v>3408</v>
      </c>
      <c r="J64" s="110" t="s">
        <v>142</v>
      </c>
    </row>
    <row r="65" spans="1:10" x14ac:dyDescent="0.3">
      <c r="A65" s="110" t="str">
        <f t="shared" si="0"/>
        <v>B000</v>
      </c>
      <c r="B65" s="110" t="str">
        <f t="shared" si="1"/>
        <v>000</v>
      </c>
      <c r="C65" s="110" t="str">
        <f t="shared" si="5"/>
        <v>08</v>
      </c>
      <c r="D65" s="110" t="str">
        <f>"6200"</f>
        <v>6200</v>
      </c>
      <c r="E65" s="110" t="s">
        <v>169</v>
      </c>
      <c r="F65" s="28">
        <v>6230</v>
      </c>
      <c r="G65" s="28">
        <v>4323</v>
      </c>
      <c r="H65" s="28">
        <v>6230</v>
      </c>
      <c r="I65" s="28">
        <v>6230</v>
      </c>
      <c r="J65" s="110" t="s">
        <v>142</v>
      </c>
    </row>
    <row r="66" spans="1:10" x14ac:dyDescent="0.3">
      <c r="A66" s="110" t="str">
        <f t="shared" si="0"/>
        <v>B000</v>
      </c>
      <c r="B66" s="110" t="str">
        <f t="shared" si="1"/>
        <v>000</v>
      </c>
      <c r="C66" s="110" t="str">
        <f t="shared" si="5"/>
        <v>08</v>
      </c>
      <c r="D66" s="110" t="str">
        <f>"6210"</f>
        <v>6210</v>
      </c>
      <c r="E66" s="110" t="s">
        <v>185</v>
      </c>
      <c r="F66" s="110">
        <v>960</v>
      </c>
      <c r="G66" s="110">
        <v>960</v>
      </c>
      <c r="H66" s="110">
        <v>960</v>
      </c>
      <c r="I66" s="110">
        <v>960</v>
      </c>
      <c r="J66" s="110" t="s">
        <v>142</v>
      </c>
    </row>
    <row r="67" spans="1:10" x14ac:dyDescent="0.3">
      <c r="A67" s="110" t="str">
        <f t="shared" si="0"/>
        <v>B000</v>
      </c>
      <c r="B67" s="110" t="str">
        <f t="shared" si="1"/>
        <v>000</v>
      </c>
      <c r="C67" s="110" t="str">
        <f t="shared" si="5"/>
        <v>08</v>
      </c>
      <c r="D67" s="110" t="str">
        <f>"6240"</f>
        <v>6240</v>
      </c>
      <c r="E67" s="110" t="s">
        <v>170</v>
      </c>
      <c r="F67" s="28">
        <v>2271</v>
      </c>
      <c r="G67" s="28">
        <v>1811</v>
      </c>
      <c r="H67" s="28">
        <v>2271</v>
      </c>
      <c r="I67" s="28">
        <v>2271</v>
      </c>
      <c r="J67" s="110" t="s">
        <v>142</v>
      </c>
    </row>
    <row r="68" spans="1:10" x14ac:dyDescent="0.3">
      <c r="A68" s="110" t="str">
        <f t="shared" si="0"/>
        <v>B000</v>
      </c>
      <c r="B68" s="110" t="str">
        <f t="shared" si="1"/>
        <v>000</v>
      </c>
      <c r="C68" s="110" t="str">
        <f t="shared" si="5"/>
        <v>08</v>
      </c>
      <c r="D68" s="110" t="str">
        <f>"6250"</f>
        <v>6250</v>
      </c>
      <c r="E68" s="110" t="s">
        <v>171</v>
      </c>
      <c r="F68" s="110">
        <v>406</v>
      </c>
      <c r="G68" s="110">
        <v>406</v>
      </c>
      <c r="H68" s="110">
        <v>406</v>
      </c>
      <c r="I68" s="110">
        <v>406</v>
      </c>
      <c r="J68" s="110" t="s">
        <v>142</v>
      </c>
    </row>
    <row r="69" spans="1:10" x14ac:dyDescent="0.3">
      <c r="A69" s="110" t="str">
        <f t="shared" si="0"/>
        <v>B000</v>
      </c>
      <c r="B69" s="110" t="str">
        <f t="shared" si="1"/>
        <v>000</v>
      </c>
      <c r="C69" s="110" t="str">
        <f t="shared" si="5"/>
        <v>08</v>
      </c>
      <c r="D69" s="110" t="str">
        <f>"7000"</f>
        <v>7000</v>
      </c>
      <c r="E69" s="110" t="s">
        <v>180</v>
      </c>
      <c r="F69" s="28">
        <v>3923</v>
      </c>
      <c r="G69" s="28">
        <v>4454</v>
      </c>
      <c r="H69" s="28">
        <v>3923</v>
      </c>
      <c r="I69" s="28">
        <v>3923</v>
      </c>
      <c r="J69" s="110" t="s">
        <v>142</v>
      </c>
    </row>
    <row r="70" spans="1:10" x14ac:dyDescent="0.3">
      <c r="A70" s="110" t="str">
        <f t="shared" si="0"/>
        <v>B000</v>
      </c>
      <c r="B70" s="110" t="str">
        <f t="shared" si="1"/>
        <v>000</v>
      </c>
      <c r="C70" s="110" t="str">
        <f t="shared" si="5"/>
        <v>08</v>
      </c>
      <c r="D70" s="110" t="str">
        <f>"7001"</f>
        <v>7001</v>
      </c>
      <c r="E70" s="110" t="s">
        <v>451</v>
      </c>
      <c r="F70" s="110">
        <v>0</v>
      </c>
      <c r="G70" s="110">
        <v>0</v>
      </c>
      <c r="H70" s="110">
        <v>0</v>
      </c>
      <c r="I70" s="110">
        <v>0</v>
      </c>
      <c r="J70" s="110" t="s">
        <v>142</v>
      </c>
    </row>
    <row r="71" spans="1:10" x14ac:dyDescent="0.3">
      <c r="A71" s="110" t="str">
        <f t="shared" si="0"/>
        <v>B000</v>
      </c>
      <c r="B71" s="110" t="str">
        <f t="shared" si="1"/>
        <v>000</v>
      </c>
      <c r="C71" s="110" t="str">
        <f t="shared" si="5"/>
        <v>08</v>
      </c>
      <c r="D71" s="110" t="str">
        <f>"7020"</f>
        <v>7020</v>
      </c>
      <c r="E71" s="110" t="s">
        <v>11</v>
      </c>
      <c r="F71" s="110">
        <v>128</v>
      </c>
      <c r="G71" s="110">
        <v>128</v>
      </c>
      <c r="H71" s="110">
        <v>128</v>
      </c>
      <c r="I71" s="110">
        <v>128</v>
      </c>
      <c r="J71" s="110" t="s">
        <v>142</v>
      </c>
    </row>
    <row r="72" spans="1:10" x14ac:dyDescent="0.3">
      <c r="A72" s="110" t="str">
        <f t="shared" si="0"/>
        <v>B000</v>
      </c>
      <c r="B72" s="110" t="str">
        <f t="shared" si="1"/>
        <v>000</v>
      </c>
      <c r="C72" s="110" t="str">
        <f t="shared" si="5"/>
        <v>08</v>
      </c>
      <c r="D72" s="110" t="str">
        <f>"705A"</f>
        <v>705A</v>
      </c>
      <c r="E72" s="110" t="s">
        <v>190</v>
      </c>
      <c r="F72" s="110">
        <v>5</v>
      </c>
      <c r="G72" s="110">
        <v>5</v>
      </c>
      <c r="H72" s="110">
        <v>5</v>
      </c>
      <c r="I72" s="110">
        <v>5</v>
      </c>
      <c r="J72" s="110" t="s">
        <v>175</v>
      </c>
    </row>
    <row r="73" spans="1:10" x14ac:dyDescent="0.3">
      <c r="A73" s="110" t="str">
        <f t="shared" si="0"/>
        <v>B000</v>
      </c>
      <c r="B73" s="110" t="str">
        <f t="shared" si="1"/>
        <v>000</v>
      </c>
      <c r="C73" s="110" t="str">
        <f t="shared" si="5"/>
        <v>08</v>
      </c>
      <c r="D73" s="110" t="str">
        <f>"7110"</f>
        <v>7110</v>
      </c>
      <c r="E73" s="110" t="s">
        <v>174</v>
      </c>
      <c r="F73" s="28">
        <v>7675</v>
      </c>
      <c r="G73" s="28">
        <v>7906</v>
      </c>
      <c r="H73" s="28">
        <v>7675</v>
      </c>
      <c r="I73" s="28">
        <v>7675</v>
      </c>
      <c r="J73" s="110" t="s">
        <v>175</v>
      </c>
    </row>
    <row r="74" spans="1:10" x14ac:dyDescent="0.3">
      <c r="A74" s="110" t="str">
        <f t="shared" si="0"/>
        <v>B000</v>
      </c>
      <c r="B74" s="110" t="str">
        <f t="shared" si="1"/>
        <v>000</v>
      </c>
      <c r="C74" s="110" t="str">
        <f t="shared" si="5"/>
        <v>08</v>
      </c>
      <c r="D74" s="110" t="str">
        <f>"7138"</f>
        <v>7138</v>
      </c>
      <c r="E74" s="110" t="s">
        <v>177</v>
      </c>
      <c r="F74" s="110">
        <v>93</v>
      </c>
      <c r="G74" s="110">
        <v>338</v>
      </c>
      <c r="H74" s="110">
        <v>93</v>
      </c>
      <c r="I74" s="110">
        <v>93</v>
      </c>
      <c r="J74" s="110" t="s">
        <v>142</v>
      </c>
    </row>
    <row r="75" spans="1:10" x14ac:dyDescent="0.3">
      <c r="A75" s="110" t="str">
        <f t="shared" si="0"/>
        <v>B000</v>
      </c>
      <c r="B75" s="110" t="str">
        <f t="shared" si="1"/>
        <v>000</v>
      </c>
      <c r="C75" s="110" t="str">
        <f t="shared" si="5"/>
        <v>08</v>
      </c>
      <c r="D75" s="110" t="str">
        <f>"7255"</f>
        <v>7255</v>
      </c>
      <c r="E75" s="110" t="s">
        <v>178</v>
      </c>
      <c r="F75" s="110">
        <v>92</v>
      </c>
      <c r="G75" s="110">
        <v>108</v>
      </c>
      <c r="H75" s="110">
        <v>92</v>
      </c>
      <c r="I75" s="110">
        <v>92</v>
      </c>
      <c r="J75" s="110" t="s">
        <v>175</v>
      </c>
    </row>
    <row r="76" spans="1:10" x14ac:dyDescent="0.3">
      <c r="A76" s="110" t="str">
        <f t="shared" si="0"/>
        <v>B000</v>
      </c>
      <c r="B76" s="110" t="str">
        <f t="shared" si="1"/>
        <v>000</v>
      </c>
      <c r="C76" s="110" t="str">
        <f t="shared" si="5"/>
        <v>08</v>
      </c>
      <c r="D76" s="110" t="str">
        <f>"7289"</f>
        <v>7289</v>
      </c>
      <c r="E76" s="110" t="s">
        <v>452</v>
      </c>
      <c r="F76" s="110">
        <v>447</v>
      </c>
      <c r="G76" s="110">
        <v>405</v>
      </c>
      <c r="H76" s="110">
        <v>447</v>
      </c>
      <c r="I76" s="110">
        <v>447</v>
      </c>
      <c r="J76" s="110" t="s">
        <v>179</v>
      </c>
    </row>
    <row r="77" spans="1:10" x14ac:dyDescent="0.3">
      <c r="A77" s="110" t="str">
        <f t="shared" si="0"/>
        <v>B000</v>
      </c>
      <c r="B77" s="110" t="str">
        <f t="shared" si="1"/>
        <v>000</v>
      </c>
      <c r="C77" s="110" t="str">
        <f t="shared" si="5"/>
        <v>08</v>
      </c>
      <c r="D77" s="110" t="str">
        <f>"7291"</f>
        <v>7291</v>
      </c>
      <c r="E77" s="110" t="s">
        <v>195</v>
      </c>
      <c r="F77" s="110">
        <v>156</v>
      </c>
      <c r="G77" s="110">
        <v>156</v>
      </c>
      <c r="H77" s="110">
        <v>156</v>
      </c>
      <c r="I77" s="110">
        <v>156</v>
      </c>
      <c r="J77" s="110" t="s">
        <v>142</v>
      </c>
    </row>
    <row r="78" spans="1:10" x14ac:dyDescent="0.3">
      <c r="A78" s="110" t="str">
        <f t="shared" ref="A78:A141" si="6">"B000"</f>
        <v>B000</v>
      </c>
      <c r="B78" s="110" t="str">
        <f t="shared" ref="B78:B141" si="7">"000"</f>
        <v>000</v>
      </c>
      <c r="C78" s="110" t="str">
        <f t="shared" si="5"/>
        <v>08</v>
      </c>
      <c r="D78" s="110" t="str">
        <f>"7292"</f>
        <v>7292</v>
      </c>
      <c r="E78" s="110" t="s">
        <v>449</v>
      </c>
      <c r="F78" s="110">
        <v>0</v>
      </c>
      <c r="G78" s="110">
        <v>0</v>
      </c>
      <c r="H78" s="110">
        <v>0</v>
      </c>
      <c r="I78" s="110">
        <v>0</v>
      </c>
      <c r="J78" s="110" t="s">
        <v>179</v>
      </c>
    </row>
    <row r="79" spans="1:10" x14ac:dyDescent="0.3">
      <c r="A79" s="110" t="str">
        <f t="shared" si="6"/>
        <v>B000</v>
      </c>
      <c r="B79" s="110" t="str">
        <f t="shared" si="7"/>
        <v>000</v>
      </c>
      <c r="C79" s="110" t="str">
        <f t="shared" si="5"/>
        <v>08</v>
      </c>
      <c r="D79" s="110" t="str">
        <f>"7294"</f>
        <v>7294</v>
      </c>
      <c r="E79" s="110" t="s">
        <v>6</v>
      </c>
      <c r="F79" s="110">
        <v>11</v>
      </c>
      <c r="G79" s="110">
        <v>18</v>
      </c>
      <c r="H79" s="110">
        <v>11</v>
      </c>
      <c r="I79" s="110">
        <v>11</v>
      </c>
      <c r="J79" s="110" t="s">
        <v>142</v>
      </c>
    </row>
    <row r="80" spans="1:10" x14ac:dyDescent="0.3">
      <c r="A80" s="110" t="str">
        <f t="shared" si="6"/>
        <v>B000</v>
      </c>
      <c r="B80" s="110" t="str">
        <f t="shared" si="7"/>
        <v>000</v>
      </c>
      <c r="C80" s="110" t="str">
        <f t="shared" si="5"/>
        <v>08</v>
      </c>
      <c r="D80" s="110" t="str">
        <f>"7295"</f>
        <v>7295</v>
      </c>
      <c r="E80" s="110" t="s">
        <v>450</v>
      </c>
      <c r="F80" s="110">
        <v>0</v>
      </c>
      <c r="G80" s="110">
        <v>0</v>
      </c>
      <c r="H80" s="110">
        <v>0</v>
      </c>
      <c r="I80" s="110">
        <v>0</v>
      </c>
      <c r="J80" s="110" t="s">
        <v>179</v>
      </c>
    </row>
    <row r="81" spans="1:10" x14ac:dyDescent="0.3">
      <c r="A81" s="110" t="str">
        <f t="shared" si="6"/>
        <v>B000</v>
      </c>
      <c r="B81" s="110" t="str">
        <f t="shared" si="7"/>
        <v>000</v>
      </c>
      <c r="C81" s="110" t="str">
        <f t="shared" si="5"/>
        <v>08</v>
      </c>
      <c r="D81" s="110" t="str">
        <f>"7398"</f>
        <v>7398</v>
      </c>
      <c r="E81" s="110" t="s">
        <v>199</v>
      </c>
      <c r="F81" s="28">
        <v>30869</v>
      </c>
      <c r="G81" s="28">
        <v>31196</v>
      </c>
      <c r="H81" s="28">
        <v>30869</v>
      </c>
      <c r="I81" s="28">
        <v>30869</v>
      </c>
      <c r="J81" s="110" t="s">
        <v>200</v>
      </c>
    </row>
    <row r="82" spans="1:10" x14ac:dyDescent="0.3">
      <c r="A82" s="110" t="str">
        <f t="shared" si="6"/>
        <v>B000</v>
      </c>
      <c r="B82" s="110" t="str">
        <f t="shared" si="7"/>
        <v>000</v>
      </c>
      <c r="C82" s="110" t="str">
        <f t="shared" si="5"/>
        <v>08</v>
      </c>
      <c r="D82" s="110" t="str">
        <f>"7533"</f>
        <v>7533</v>
      </c>
      <c r="E82" s="110" t="s">
        <v>201</v>
      </c>
      <c r="F82" s="110">
        <v>569</v>
      </c>
      <c r="G82" s="110">
        <v>568</v>
      </c>
      <c r="H82" s="110">
        <v>569</v>
      </c>
      <c r="I82" s="110">
        <v>569</v>
      </c>
      <c r="J82" s="110" t="s">
        <v>179</v>
      </c>
    </row>
    <row r="83" spans="1:10" x14ac:dyDescent="0.3">
      <c r="A83" s="110" t="str">
        <f t="shared" si="6"/>
        <v>B000</v>
      </c>
      <c r="B83" s="110" t="str">
        <f t="shared" si="7"/>
        <v>000</v>
      </c>
      <c r="C83" s="110" t="str">
        <f t="shared" si="5"/>
        <v>08</v>
      </c>
      <c r="D83" s="110" t="str">
        <f>"7545"</f>
        <v>7545</v>
      </c>
      <c r="E83" s="110" t="s">
        <v>453</v>
      </c>
      <c r="F83" s="110">
        <v>0</v>
      </c>
      <c r="G83" s="110">
        <v>0</v>
      </c>
      <c r="H83" s="110">
        <v>0</v>
      </c>
      <c r="I83" s="110">
        <v>0</v>
      </c>
      <c r="J83" s="110" t="s">
        <v>179</v>
      </c>
    </row>
    <row r="84" spans="1:10" x14ac:dyDescent="0.3">
      <c r="A84" s="110" t="str">
        <f t="shared" si="6"/>
        <v>B000</v>
      </c>
      <c r="B84" s="110" t="str">
        <f t="shared" si="7"/>
        <v>000</v>
      </c>
      <c r="C84" s="110" t="str">
        <f t="shared" si="5"/>
        <v>08</v>
      </c>
      <c r="D84" s="110" t="str">
        <f>"7771"</f>
        <v>7771</v>
      </c>
      <c r="E84" s="110" t="s">
        <v>202</v>
      </c>
      <c r="F84" s="110">
        <v>576</v>
      </c>
      <c r="G84" s="110">
        <v>576</v>
      </c>
      <c r="H84" s="110">
        <v>576</v>
      </c>
      <c r="I84" s="110">
        <v>576</v>
      </c>
      <c r="J84" s="110" t="s">
        <v>203</v>
      </c>
    </row>
    <row r="85" spans="1:10" x14ac:dyDescent="0.3">
      <c r="A85" s="110" t="str">
        <f t="shared" si="6"/>
        <v>B000</v>
      </c>
      <c r="B85" s="110" t="str">
        <f t="shared" si="7"/>
        <v>000</v>
      </c>
      <c r="C85" s="110" t="str">
        <f t="shared" ref="C85:C118" si="8">"09"</f>
        <v>09</v>
      </c>
      <c r="D85" s="110" t="str">
        <f>"6200"</f>
        <v>6200</v>
      </c>
      <c r="E85" s="110" t="s">
        <v>169</v>
      </c>
      <c r="F85" s="110">
        <v>355</v>
      </c>
      <c r="G85" s="110">
        <v>355</v>
      </c>
      <c r="H85" s="110">
        <v>355</v>
      </c>
      <c r="I85" s="110">
        <v>355</v>
      </c>
      <c r="J85" s="110" t="s">
        <v>142</v>
      </c>
    </row>
    <row r="86" spans="1:10" x14ac:dyDescent="0.3">
      <c r="A86" s="110" t="str">
        <f t="shared" si="6"/>
        <v>B000</v>
      </c>
      <c r="B86" s="110" t="str">
        <f t="shared" si="7"/>
        <v>000</v>
      </c>
      <c r="C86" s="110" t="str">
        <f t="shared" si="8"/>
        <v>09</v>
      </c>
      <c r="D86" s="110" t="str">
        <f>"6210"</f>
        <v>6210</v>
      </c>
      <c r="E86" s="110" t="s">
        <v>185</v>
      </c>
      <c r="F86" s="110">
        <v>292</v>
      </c>
      <c r="G86" s="110">
        <v>292</v>
      </c>
      <c r="H86" s="110">
        <v>292</v>
      </c>
      <c r="I86" s="110">
        <v>292</v>
      </c>
      <c r="J86" s="110" t="s">
        <v>142</v>
      </c>
    </row>
    <row r="87" spans="1:10" x14ac:dyDescent="0.3">
      <c r="A87" s="110" t="str">
        <f t="shared" si="6"/>
        <v>B000</v>
      </c>
      <c r="B87" s="110" t="str">
        <f t="shared" si="7"/>
        <v>000</v>
      </c>
      <c r="C87" s="110" t="str">
        <f t="shared" si="8"/>
        <v>09</v>
      </c>
      <c r="D87" s="110" t="str">
        <f>"6240"</f>
        <v>6240</v>
      </c>
      <c r="E87" s="110" t="s">
        <v>170</v>
      </c>
      <c r="F87" s="110">
        <v>602</v>
      </c>
      <c r="G87" s="110">
        <v>602</v>
      </c>
      <c r="H87" s="110">
        <v>602</v>
      </c>
      <c r="I87" s="110">
        <v>602</v>
      </c>
      <c r="J87" s="110" t="s">
        <v>142</v>
      </c>
    </row>
    <row r="88" spans="1:10" x14ac:dyDescent="0.3">
      <c r="A88" s="110" t="str">
        <f t="shared" si="6"/>
        <v>B000</v>
      </c>
      <c r="B88" s="110" t="str">
        <f t="shared" si="7"/>
        <v>000</v>
      </c>
      <c r="C88" s="110" t="str">
        <f t="shared" si="8"/>
        <v>09</v>
      </c>
      <c r="D88" s="110" t="str">
        <f>"6250"</f>
        <v>6250</v>
      </c>
      <c r="E88" s="110" t="s">
        <v>171</v>
      </c>
      <c r="F88" s="110">
        <v>652</v>
      </c>
      <c r="G88" s="110">
        <v>652</v>
      </c>
      <c r="H88" s="110">
        <v>652</v>
      </c>
      <c r="I88" s="110">
        <v>652</v>
      </c>
      <c r="J88" s="110" t="s">
        <v>142</v>
      </c>
    </row>
    <row r="89" spans="1:10" x14ac:dyDescent="0.3">
      <c r="A89" s="110" t="str">
        <f t="shared" si="6"/>
        <v>B000</v>
      </c>
      <c r="B89" s="110" t="str">
        <f t="shared" si="7"/>
        <v>000</v>
      </c>
      <c r="C89" s="110" t="str">
        <f t="shared" si="8"/>
        <v>09</v>
      </c>
      <c r="D89" s="110" t="str">
        <f>"7000"</f>
        <v>7000</v>
      </c>
      <c r="E89" s="110" t="s">
        <v>180</v>
      </c>
      <c r="F89" s="28">
        <v>7746</v>
      </c>
      <c r="G89" s="28">
        <v>3415</v>
      </c>
      <c r="H89" s="28">
        <v>7746</v>
      </c>
      <c r="I89" s="28">
        <v>7746</v>
      </c>
      <c r="J89" s="110" t="s">
        <v>142</v>
      </c>
    </row>
    <row r="90" spans="1:10" x14ac:dyDescent="0.3">
      <c r="A90" s="110" t="str">
        <f t="shared" si="6"/>
        <v>B000</v>
      </c>
      <c r="B90" s="110" t="str">
        <f t="shared" si="7"/>
        <v>000</v>
      </c>
      <c r="C90" s="110" t="str">
        <f t="shared" si="8"/>
        <v>09</v>
      </c>
      <c r="D90" s="110" t="str">
        <f>"7001"</f>
        <v>7001</v>
      </c>
      <c r="E90" s="110" t="s">
        <v>451</v>
      </c>
      <c r="F90" s="110">
        <v>0</v>
      </c>
      <c r="G90" s="110">
        <v>0</v>
      </c>
      <c r="H90" s="110">
        <v>0</v>
      </c>
      <c r="I90" s="110">
        <v>0</v>
      </c>
      <c r="J90" s="110" t="s">
        <v>142</v>
      </c>
    </row>
    <row r="91" spans="1:10" x14ac:dyDescent="0.3">
      <c r="A91" s="110" t="str">
        <f t="shared" si="6"/>
        <v>B000</v>
      </c>
      <c r="B91" s="110" t="str">
        <f t="shared" si="7"/>
        <v>000</v>
      </c>
      <c r="C91" s="110" t="str">
        <f t="shared" si="8"/>
        <v>09</v>
      </c>
      <c r="D91" s="110" t="str">
        <f>"7020"</f>
        <v>7020</v>
      </c>
      <c r="E91" s="110" t="s">
        <v>11</v>
      </c>
      <c r="F91" s="110">
        <v>375</v>
      </c>
      <c r="G91" s="110">
        <v>375</v>
      </c>
      <c r="H91" s="110">
        <v>375</v>
      </c>
      <c r="I91" s="110">
        <v>375</v>
      </c>
      <c r="J91" s="110" t="s">
        <v>142</v>
      </c>
    </row>
    <row r="92" spans="1:10" x14ac:dyDescent="0.3">
      <c r="A92" s="110" t="str">
        <f t="shared" si="6"/>
        <v>B000</v>
      </c>
      <c r="B92" s="110" t="str">
        <f t="shared" si="7"/>
        <v>000</v>
      </c>
      <c r="C92" s="110" t="str">
        <f t="shared" si="8"/>
        <v>09</v>
      </c>
      <c r="D92" s="110" t="str">
        <f>"7030"</f>
        <v>7030</v>
      </c>
      <c r="E92" s="110" t="s">
        <v>187</v>
      </c>
      <c r="F92" s="110">
        <v>90</v>
      </c>
      <c r="G92" s="110">
        <v>90</v>
      </c>
      <c r="H92" s="110">
        <v>90</v>
      </c>
      <c r="I92" s="110">
        <v>90</v>
      </c>
      <c r="J92" s="110" t="s">
        <v>142</v>
      </c>
    </row>
    <row r="93" spans="1:10" x14ac:dyDescent="0.3">
      <c r="A93" s="110" t="str">
        <f t="shared" si="6"/>
        <v>B000</v>
      </c>
      <c r="B93" s="110" t="str">
        <f t="shared" si="7"/>
        <v>000</v>
      </c>
      <c r="C93" s="110" t="str">
        <f t="shared" si="8"/>
        <v>09</v>
      </c>
      <c r="D93" s="110" t="str">
        <f>"7040"</f>
        <v>7040</v>
      </c>
      <c r="E93" s="110" t="s">
        <v>10</v>
      </c>
      <c r="F93" s="110">
        <v>0</v>
      </c>
      <c r="G93" s="110">
        <v>0</v>
      </c>
      <c r="H93" s="110">
        <v>0</v>
      </c>
      <c r="I93" s="110">
        <v>0</v>
      </c>
      <c r="J93" s="110" t="s">
        <v>142</v>
      </c>
    </row>
    <row r="94" spans="1:10" x14ac:dyDescent="0.3">
      <c r="A94" s="110" t="str">
        <f t="shared" si="6"/>
        <v>B000</v>
      </c>
      <c r="B94" s="110" t="str">
        <f t="shared" si="7"/>
        <v>000</v>
      </c>
      <c r="C94" s="110" t="str">
        <f t="shared" si="8"/>
        <v>09</v>
      </c>
      <c r="D94" s="110" t="str">
        <f>"7044"</f>
        <v>7044</v>
      </c>
      <c r="E94" s="110" t="s">
        <v>448</v>
      </c>
      <c r="F94" s="110">
        <v>389</v>
      </c>
      <c r="G94" s="110">
        <v>389</v>
      </c>
      <c r="H94" s="110">
        <v>389</v>
      </c>
      <c r="I94" s="110">
        <v>389</v>
      </c>
      <c r="J94" s="110" t="s">
        <v>142</v>
      </c>
    </row>
    <row r="95" spans="1:10" x14ac:dyDescent="0.3">
      <c r="A95" s="110" t="str">
        <f t="shared" si="6"/>
        <v>B000</v>
      </c>
      <c r="B95" s="110" t="str">
        <f t="shared" si="7"/>
        <v>000</v>
      </c>
      <c r="C95" s="110" t="str">
        <f t="shared" si="8"/>
        <v>09</v>
      </c>
      <c r="D95" s="110" t="str">
        <f>"7051"</f>
        <v>7051</v>
      </c>
      <c r="E95" s="110" t="s">
        <v>188</v>
      </c>
      <c r="F95" s="110">
        <v>0</v>
      </c>
      <c r="G95" s="110">
        <v>0</v>
      </c>
      <c r="H95" s="110">
        <v>0</v>
      </c>
      <c r="I95" s="110">
        <v>0</v>
      </c>
      <c r="J95" s="110" t="s">
        <v>189</v>
      </c>
    </row>
    <row r="96" spans="1:10" x14ac:dyDescent="0.3">
      <c r="A96" s="110" t="str">
        <f t="shared" si="6"/>
        <v>B000</v>
      </c>
      <c r="B96" s="110" t="str">
        <f t="shared" si="7"/>
        <v>000</v>
      </c>
      <c r="C96" s="110" t="str">
        <f t="shared" si="8"/>
        <v>09</v>
      </c>
      <c r="D96" s="110" t="str">
        <f>"705A"</f>
        <v>705A</v>
      </c>
      <c r="E96" s="110" t="s">
        <v>190</v>
      </c>
      <c r="F96" s="110">
        <v>4</v>
      </c>
      <c r="G96" s="110">
        <v>4</v>
      </c>
      <c r="H96" s="110">
        <v>4</v>
      </c>
      <c r="I96" s="110">
        <v>4</v>
      </c>
      <c r="J96" s="110" t="s">
        <v>175</v>
      </c>
    </row>
    <row r="97" spans="1:10" x14ac:dyDescent="0.3">
      <c r="A97" s="110" t="str">
        <f t="shared" si="6"/>
        <v>B000</v>
      </c>
      <c r="B97" s="110" t="str">
        <f t="shared" si="7"/>
        <v>000</v>
      </c>
      <c r="C97" s="110" t="str">
        <f t="shared" si="8"/>
        <v>09</v>
      </c>
      <c r="D97" s="110" t="str">
        <f>"7060"</f>
        <v>7060</v>
      </c>
      <c r="E97" s="110" t="s">
        <v>213</v>
      </c>
      <c r="F97" s="110">
        <v>0</v>
      </c>
      <c r="G97" s="110">
        <v>0</v>
      </c>
      <c r="H97" s="110">
        <v>0</v>
      </c>
      <c r="I97" s="110">
        <v>0</v>
      </c>
      <c r="J97" s="110" t="s">
        <v>192</v>
      </c>
    </row>
    <row r="98" spans="1:10" x14ac:dyDescent="0.3">
      <c r="A98" s="110" t="str">
        <f t="shared" si="6"/>
        <v>B000</v>
      </c>
      <c r="B98" s="110" t="str">
        <f t="shared" si="7"/>
        <v>000</v>
      </c>
      <c r="C98" s="110" t="str">
        <f t="shared" si="8"/>
        <v>09</v>
      </c>
      <c r="D98" s="110" t="str">
        <f>"7064"</f>
        <v>7064</v>
      </c>
      <c r="E98" s="110" t="s">
        <v>191</v>
      </c>
      <c r="F98" s="110">
        <v>0</v>
      </c>
      <c r="G98" s="110">
        <v>0</v>
      </c>
      <c r="H98" s="110">
        <v>0</v>
      </c>
      <c r="I98" s="110">
        <v>0</v>
      </c>
      <c r="J98" s="110" t="s">
        <v>192</v>
      </c>
    </row>
    <row r="99" spans="1:10" x14ac:dyDescent="0.3">
      <c r="A99" s="110" t="str">
        <f t="shared" si="6"/>
        <v>B000</v>
      </c>
      <c r="B99" s="110" t="str">
        <f t="shared" si="7"/>
        <v>000</v>
      </c>
      <c r="C99" s="110" t="str">
        <f t="shared" si="8"/>
        <v>09</v>
      </c>
      <c r="D99" s="110" t="str">
        <f>"7073"</f>
        <v>7073</v>
      </c>
      <c r="E99" s="110" t="s">
        <v>194</v>
      </c>
      <c r="F99" s="28">
        <v>1400</v>
      </c>
      <c r="G99" s="28">
        <v>1400</v>
      </c>
      <c r="H99" s="28">
        <v>1400</v>
      </c>
      <c r="I99" s="28">
        <v>1400</v>
      </c>
      <c r="J99" s="110" t="s">
        <v>192</v>
      </c>
    </row>
    <row r="100" spans="1:10" x14ac:dyDescent="0.3">
      <c r="A100" s="110" t="str">
        <f t="shared" si="6"/>
        <v>B000</v>
      </c>
      <c r="B100" s="110" t="str">
        <f t="shared" si="7"/>
        <v>000</v>
      </c>
      <c r="C100" s="110" t="str">
        <f t="shared" si="8"/>
        <v>09</v>
      </c>
      <c r="D100" s="110" t="str">
        <f>"7110"</f>
        <v>7110</v>
      </c>
      <c r="E100" s="110" t="s">
        <v>174</v>
      </c>
      <c r="F100" s="28">
        <v>5954</v>
      </c>
      <c r="G100" s="28">
        <v>6133</v>
      </c>
      <c r="H100" s="28">
        <v>5954</v>
      </c>
      <c r="I100" s="28">
        <v>5954</v>
      </c>
      <c r="J100" s="110" t="s">
        <v>175</v>
      </c>
    </row>
    <row r="101" spans="1:10" x14ac:dyDescent="0.3">
      <c r="A101" s="110" t="str">
        <f t="shared" si="6"/>
        <v>B000</v>
      </c>
      <c r="B101" s="110" t="str">
        <f t="shared" si="7"/>
        <v>000</v>
      </c>
      <c r="C101" s="110" t="str">
        <f t="shared" si="8"/>
        <v>09</v>
      </c>
      <c r="D101" s="110" t="str">
        <f>"7138"</f>
        <v>7138</v>
      </c>
      <c r="E101" s="110" t="s">
        <v>177</v>
      </c>
      <c r="F101" s="110">
        <v>320</v>
      </c>
      <c r="G101" s="110">
        <v>320</v>
      </c>
      <c r="H101" s="110">
        <v>320</v>
      </c>
      <c r="I101" s="110">
        <v>320</v>
      </c>
      <c r="J101" s="110" t="s">
        <v>142</v>
      </c>
    </row>
    <row r="102" spans="1:10" x14ac:dyDescent="0.3">
      <c r="A102" s="110" t="str">
        <f t="shared" si="6"/>
        <v>B000</v>
      </c>
      <c r="B102" s="110" t="str">
        <f t="shared" si="7"/>
        <v>000</v>
      </c>
      <c r="C102" s="110" t="str">
        <f t="shared" si="8"/>
        <v>09</v>
      </c>
      <c r="D102" s="110" t="str">
        <f>"7255"</f>
        <v>7255</v>
      </c>
      <c r="E102" s="110" t="s">
        <v>178</v>
      </c>
      <c r="F102" s="110">
        <v>71</v>
      </c>
      <c r="G102" s="110">
        <v>83</v>
      </c>
      <c r="H102" s="110">
        <v>71</v>
      </c>
      <c r="I102" s="110">
        <v>71</v>
      </c>
      <c r="J102" s="110" t="s">
        <v>175</v>
      </c>
    </row>
    <row r="103" spans="1:10" x14ac:dyDescent="0.3">
      <c r="A103" s="110" t="str">
        <f t="shared" si="6"/>
        <v>B000</v>
      </c>
      <c r="B103" s="110" t="str">
        <f t="shared" si="7"/>
        <v>000</v>
      </c>
      <c r="C103" s="110" t="str">
        <f t="shared" si="8"/>
        <v>09</v>
      </c>
      <c r="D103" s="110" t="str">
        <f>"7285"</f>
        <v>7285</v>
      </c>
      <c r="E103" s="110" t="s">
        <v>7</v>
      </c>
      <c r="F103" s="110">
        <v>34</v>
      </c>
      <c r="G103" s="110">
        <v>34</v>
      </c>
      <c r="H103" s="110">
        <v>34</v>
      </c>
      <c r="I103" s="110">
        <v>34</v>
      </c>
      <c r="J103" s="110" t="s">
        <v>142</v>
      </c>
    </row>
    <row r="104" spans="1:10" x14ac:dyDescent="0.3">
      <c r="A104" s="110" t="str">
        <f t="shared" si="6"/>
        <v>B000</v>
      </c>
      <c r="B104" s="110" t="str">
        <f t="shared" si="7"/>
        <v>000</v>
      </c>
      <c r="C104" s="110" t="str">
        <f t="shared" si="8"/>
        <v>09</v>
      </c>
      <c r="D104" s="110" t="str">
        <f>"7289"</f>
        <v>7289</v>
      </c>
      <c r="E104" s="110" t="s">
        <v>452</v>
      </c>
      <c r="F104" s="110">
        <v>241</v>
      </c>
      <c r="G104" s="110">
        <v>218</v>
      </c>
      <c r="H104" s="110">
        <v>241</v>
      </c>
      <c r="I104" s="110">
        <v>241</v>
      </c>
      <c r="J104" s="110" t="s">
        <v>179</v>
      </c>
    </row>
    <row r="105" spans="1:10" x14ac:dyDescent="0.3">
      <c r="A105" s="110" t="str">
        <f t="shared" si="6"/>
        <v>B000</v>
      </c>
      <c r="B105" s="110" t="str">
        <f t="shared" si="7"/>
        <v>000</v>
      </c>
      <c r="C105" s="110" t="str">
        <f t="shared" si="8"/>
        <v>09</v>
      </c>
      <c r="D105" s="110" t="str">
        <f>"7290"</f>
        <v>7290</v>
      </c>
      <c r="E105" s="110" t="s">
        <v>0</v>
      </c>
      <c r="F105" s="110">
        <v>0</v>
      </c>
      <c r="G105" s="110">
        <v>0</v>
      </c>
      <c r="H105" s="110">
        <v>0</v>
      </c>
      <c r="I105" s="110">
        <v>0</v>
      </c>
      <c r="J105" s="110" t="s">
        <v>142</v>
      </c>
    </row>
    <row r="106" spans="1:10" x14ac:dyDescent="0.3">
      <c r="A106" s="110" t="str">
        <f t="shared" si="6"/>
        <v>B000</v>
      </c>
      <c r="B106" s="110" t="str">
        <f t="shared" si="7"/>
        <v>000</v>
      </c>
      <c r="C106" s="110" t="str">
        <f t="shared" si="8"/>
        <v>09</v>
      </c>
      <c r="D106" s="110" t="str">
        <f>"7291"</f>
        <v>7291</v>
      </c>
      <c r="E106" s="110" t="s">
        <v>195</v>
      </c>
      <c r="F106" s="110">
        <v>661</v>
      </c>
      <c r="G106" s="110">
        <v>661</v>
      </c>
      <c r="H106" s="110">
        <v>661</v>
      </c>
      <c r="I106" s="110">
        <v>661</v>
      </c>
      <c r="J106" s="110" t="s">
        <v>142</v>
      </c>
    </row>
    <row r="107" spans="1:10" x14ac:dyDescent="0.3">
      <c r="A107" s="110" t="str">
        <f t="shared" si="6"/>
        <v>B000</v>
      </c>
      <c r="B107" s="110" t="str">
        <f t="shared" si="7"/>
        <v>000</v>
      </c>
      <c r="C107" s="110" t="str">
        <f t="shared" si="8"/>
        <v>09</v>
      </c>
      <c r="D107" s="110" t="str">
        <f>"7292"</f>
        <v>7292</v>
      </c>
      <c r="E107" s="110" t="s">
        <v>449</v>
      </c>
      <c r="F107" s="110">
        <v>0</v>
      </c>
      <c r="G107" s="110">
        <v>0</v>
      </c>
      <c r="H107" s="110">
        <v>0</v>
      </c>
      <c r="I107" s="110">
        <v>0</v>
      </c>
      <c r="J107" s="110" t="s">
        <v>179</v>
      </c>
    </row>
    <row r="108" spans="1:10" x14ac:dyDescent="0.3">
      <c r="A108" s="110" t="str">
        <f t="shared" si="6"/>
        <v>B000</v>
      </c>
      <c r="B108" s="110" t="str">
        <f t="shared" si="7"/>
        <v>000</v>
      </c>
      <c r="C108" s="110" t="str">
        <f t="shared" si="8"/>
        <v>09</v>
      </c>
      <c r="D108" s="110" t="str">
        <f>"7294"</f>
        <v>7294</v>
      </c>
      <c r="E108" s="110" t="s">
        <v>6</v>
      </c>
      <c r="F108" s="110">
        <v>278</v>
      </c>
      <c r="G108" s="110">
        <v>278</v>
      </c>
      <c r="H108" s="110">
        <v>278</v>
      </c>
      <c r="I108" s="110">
        <v>278</v>
      </c>
      <c r="J108" s="110" t="s">
        <v>142</v>
      </c>
    </row>
    <row r="109" spans="1:10" x14ac:dyDescent="0.3">
      <c r="A109" s="110" t="str">
        <f t="shared" si="6"/>
        <v>B000</v>
      </c>
      <c r="B109" s="110" t="str">
        <f t="shared" si="7"/>
        <v>000</v>
      </c>
      <c r="C109" s="110" t="str">
        <f t="shared" si="8"/>
        <v>09</v>
      </c>
      <c r="D109" s="110" t="str">
        <f>"7295"</f>
        <v>7295</v>
      </c>
      <c r="E109" s="110" t="s">
        <v>450</v>
      </c>
      <c r="F109" s="110">
        <v>0</v>
      </c>
      <c r="G109" s="110">
        <v>0</v>
      </c>
      <c r="H109" s="110">
        <v>0</v>
      </c>
      <c r="I109" s="110">
        <v>0</v>
      </c>
      <c r="J109" s="110" t="s">
        <v>179</v>
      </c>
    </row>
    <row r="110" spans="1:10" x14ac:dyDescent="0.3">
      <c r="A110" s="110" t="str">
        <f t="shared" si="6"/>
        <v>B000</v>
      </c>
      <c r="B110" s="110" t="str">
        <f t="shared" si="7"/>
        <v>000</v>
      </c>
      <c r="C110" s="110" t="str">
        <f t="shared" si="8"/>
        <v>09</v>
      </c>
      <c r="D110" s="110" t="str">
        <f>"7296"</f>
        <v>7296</v>
      </c>
      <c r="E110" s="110" t="s">
        <v>196</v>
      </c>
      <c r="F110" s="110">
        <v>191</v>
      </c>
      <c r="G110" s="110">
        <v>191</v>
      </c>
      <c r="H110" s="110">
        <v>191</v>
      </c>
      <c r="I110" s="110">
        <v>191</v>
      </c>
      <c r="J110" s="110" t="s">
        <v>142</v>
      </c>
    </row>
    <row r="111" spans="1:10" x14ac:dyDescent="0.3">
      <c r="A111" s="110" t="str">
        <f t="shared" si="6"/>
        <v>B000</v>
      </c>
      <c r="B111" s="110" t="str">
        <f t="shared" si="7"/>
        <v>000</v>
      </c>
      <c r="C111" s="110" t="str">
        <f t="shared" si="8"/>
        <v>09</v>
      </c>
      <c r="D111" s="110" t="str">
        <f>"7301"</f>
        <v>7301</v>
      </c>
      <c r="E111" s="110" t="s">
        <v>197</v>
      </c>
      <c r="F111" s="28">
        <v>3000</v>
      </c>
      <c r="G111" s="28">
        <v>3000</v>
      </c>
      <c r="H111" s="28">
        <v>3000</v>
      </c>
      <c r="I111" s="28">
        <v>3000</v>
      </c>
      <c r="J111" s="110" t="s">
        <v>192</v>
      </c>
    </row>
    <row r="112" spans="1:10" x14ac:dyDescent="0.3">
      <c r="A112" s="110" t="str">
        <f t="shared" si="6"/>
        <v>B000</v>
      </c>
      <c r="B112" s="110" t="str">
        <f t="shared" si="7"/>
        <v>000</v>
      </c>
      <c r="C112" s="110" t="str">
        <f t="shared" si="8"/>
        <v>09</v>
      </c>
      <c r="D112" s="110" t="str">
        <f>"7302"</f>
        <v>7302</v>
      </c>
      <c r="E112" s="110" t="s">
        <v>206</v>
      </c>
      <c r="F112" s="110">
        <v>553</v>
      </c>
      <c r="G112" s="110">
        <v>553</v>
      </c>
      <c r="H112" s="110">
        <v>553</v>
      </c>
      <c r="I112" s="110">
        <v>553</v>
      </c>
      <c r="J112" s="110" t="s">
        <v>192</v>
      </c>
    </row>
    <row r="113" spans="1:10" x14ac:dyDescent="0.3">
      <c r="A113" s="110" t="str">
        <f t="shared" si="6"/>
        <v>B000</v>
      </c>
      <c r="B113" s="110" t="str">
        <f t="shared" si="7"/>
        <v>000</v>
      </c>
      <c r="C113" s="110" t="str">
        <f t="shared" si="8"/>
        <v>09</v>
      </c>
      <c r="D113" s="110" t="str">
        <f>"7370"</f>
        <v>7370</v>
      </c>
      <c r="E113" s="110" t="s">
        <v>198</v>
      </c>
      <c r="F113" s="110">
        <v>612</v>
      </c>
      <c r="G113" s="110">
        <v>612</v>
      </c>
      <c r="H113" s="110">
        <v>612</v>
      </c>
      <c r="I113" s="110">
        <v>612</v>
      </c>
      <c r="J113" s="110" t="s">
        <v>192</v>
      </c>
    </row>
    <row r="114" spans="1:10" x14ac:dyDescent="0.3">
      <c r="A114" s="110" t="str">
        <f t="shared" si="6"/>
        <v>B000</v>
      </c>
      <c r="B114" s="110" t="str">
        <f t="shared" si="7"/>
        <v>000</v>
      </c>
      <c r="C114" s="110" t="str">
        <f t="shared" si="8"/>
        <v>09</v>
      </c>
      <c r="D114" s="110" t="str">
        <f>"7398"</f>
        <v>7398</v>
      </c>
      <c r="E114" s="110" t="s">
        <v>199</v>
      </c>
      <c r="F114" s="28">
        <v>19139</v>
      </c>
      <c r="G114" s="28">
        <v>19255</v>
      </c>
      <c r="H114" s="28">
        <v>19139</v>
      </c>
      <c r="I114" s="28">
        <v>19139</v>
      </c>
      <c r="J114" s="110" t="s">
        <v>200</v>
      </c>
    </row>
    <row r="115" spans="1:10" x14ac:dyDescent="0.3">
      <c r="A115" s="110" t="str">
        <f t="shared" si="6"/>
        <v>B000</v>
      </c>
      <c r="B115" s="110" t="str">
        <f t="shared" si="7"/>
        <v>000</v>
      </c>
      <c r="C115" s="110" t="str">
        <f t="shared" si="8"/>
        <v>09</v>
      </c>
      <c r="D115" s="110" t="str">
        <f>"7460"</f>
        <v>7460</v>
      </c>
      <c r="E115" s="110" t="s">
        <v>228</v>
      </c>
      <c r="F115" s="110">
        <v>0</v>
      </c>
      <c r="G115" s="110">
        <v>0</v>
      </c>
      <c r="H115" s="110">
        <v>0</v>
      </c>
      <c r="I115" s="110">
        <v>0</v>
      </c>
      <c r="J115" s="110" t="s">
        <v>203</v>
      </c>
    </row>
    <row r="116" spans="1:10" x14ac:dyDescent="0.3">
      <c r="A116" s="110" t="str">
        <f t="shared" si="6"/>
        <v>B000</v>
      </c>
      <c r="B116" s="110" t="str">
        <f t="shared" si="7"/>
        <v>000</v>
      </c>
      <c r="C116" s="110" t="str">
        <f t="shared" si="8"/>
        <v>09</v>
      </c>
      <c r="D116" s="110" t="str">
        <f>"7533"</f>
        <v>7533</v>
      </c>
      <c r="E116" s="110" t="s">
        <v>201</v>
      </c>
      <c r="F116" s="110">
        <v>306</v>
      </c>
      <c r="G116" s="110">
        <v>306</v>
      </c>
      <c r="H116" s="110">
        <v>306</v>
      </c>
      <c r="I116" s="110">
        <v>306</v>
      </c>
      <c r="J116" s="110" t="s">
        <v>179</v>
      </c>
    </row>
    <row r="117" spans="1:10" x14ac:dyDescent="0.3">
      <c r="A117" s="110" t="str">
        <f t="shared" si="6"/>
        <v>B000</v>
      </c>
      <c r="B117" s="110" t="str">
        <f t="shared" si="7"/>
        <v>000</v>
      </c>
      <c r="C117" s="110" t="str">
        <f t="shared" si="8"/>
        <v>09</v>
      </c>
      <c r="D117" s="110" t="str">
        <f>"7545"</f>
        <v>7545</v>
      </c>
      <c r="E117" s="110" t="s">
        <v>453</v>
      </c>
      <c r="F117" s="110">
        <v>0</v>
      </c>
      <c r="G117" s="110">
        <v>0</v>
      </c>
      <c r="H117" s="110">
        <v>0</v>
      </c>
      <c r="I117" s="110">
        <v>0</v>
      </c>
      <c r="J117" s="110" t="s">
        <v>179</v>
      </c>
    </row>
    <row r="118" spans="1:10" x14ac:dyDescent="0.3">
      <c r="A118" s="110" t="str">
        <f t="shared" si="6"/>
        <v>B000</v>
      </c>
      <c r="B118" s="110" t="str">
        <f t="shared" si="7"/>
        <v>000</v>
      </c>
      <c r="C118" s="110" t="str">
        <f t="shared" si="8"/>
        <v>09</v>
      </c>
      <c r="D118" s="110" t="str">
        <f>"7771"</f>
        <v>7771</v>
      </c>
      <c r="E118" s="110" t="s">
        <v>202</v>
      </c>
      <c r="F118" s="110">
        <v>288</v>
      </c>
      <c r="G118" s="110">
        <v>288</v>
      </c>
      <c r="H118" s="110">
        <v>288</v>
      </c>
      <c r="I118" s="110">
        <v>288</v>
      </c>
      <c r="J118" s="110" t="s">
        <v>203</v>
      </c>
    </row>
    <row r="119" spans="1:10" x14ac:dyDescent="0.3">
      <c r="A119" s="110" t="str">
        <f t="shared" si="6"/>
        <v>B000</v>
      </c>
      <c r="B119" s="110" t="str">
        <f t="shared" si="7"/>
        <v>000</v>
      </c>
      <c r="C119" s="110" t="str">
        <f t="shared" ref="C119:C129" si="9">"10"</f>
        <v>10</v>
      </c>
      <c r="D119" s="110" t="str">
        <f>"6200"</f>
        <v>6200</v>
      </c>
      <c r="E119" s="110" t="s">
        <v>169</v>
      </c>
      <c r="F119" s="110">
        <v>179</v>
      </c>
      <c r="G119" s="110">
        <v>179</v>
      </c>
      <c r="H119" s="110">
        <v>179</v>
      </c>
      <c r="I119" s="110">
        <v>179</v>
      </c>
      <c r="J119" s="110" t="s">
        <v>142</v>
      </c>
    </row>
    <row r="120" spans="1:10" x14ac:dyDescent="0.3">
      <c r="A120" s="110" t="str">
        <f t="shared" si="6"/>
        <v>B000</v>
      </c>
      <c r="B120" s="110" t="str">
        <f t="shared" si="7"/>
        <v>000</v>
      </c>
      <c r="C120" s="110" t="str">
        <f t="shared" si="9"/>
        <v>10</v>
      </c>
      <c r="D120" s="110" t="str">
        <f>"6210"</f>
        <v>6210</v>
      </c>
      <c r="E120" s="110" t="s">
        <v>185</v>
      </c>
      <c r="F120" s="110">
        <v>12</v>
      </c>
      <c r="G120" s="110">
        <v>12</v>
      </c>
      <c r="H120" s="110">
        <v>12</v>
      </c>
      <c r="I120" s="110">
        <v>12</v>
      </c>
      <c r="J120" s="110" t="s">
        <v>142</v>
      </c>
    </row>
    <row r="121" spans="1:10" x14ac:dyDescent="0.3">
      <c r="A121" s="110" t="str">
        <f t="shared" si="6"/>
        <v>B000</v>
      </c>
      <c r="B121" s="110" t="str">
        <f t="shared" si="7"/>
        <v>000</v>
      </c>
      <c r="C121" s="110" t="str">
        <f t="shared" si="9"/>
        <v>10</v>
      </c>
      <c r="D121" s="110" t="str">
        <f>"6240"</f>
        <v>6240</v>
      </c>
      <c r="E121" s="110" t="s">
        <v>170</v>
      </c>
      <c r="F121" s="110">
        <v>57</v>
      </c>
      <c r="G121" s="110">
        <v>57</v>
      </c>
      <c r="H121" s="110">
        <v>57</v>
      </c>
      <c r="I121" s="110">
        <v>57</v>
      </c>
      <c r="J121" s="110" t="s">
        <v>142</v>
      </c>
    </row>
    <row r="122" spans="1:10" x14ac:dyDescent="0.3">
      <c r="A122" s="110" t="str">
        <f t="shared" si="6"/>
        <v>B000</v>
      </c>
      <c r="B122" s="110" t="str">
        <f t="shared" si="7"/>
        <v>000</v>
      </c>
      <c r="C122" s="110" t="str">
        <f t="shared" si="9"/>
        <v>10</v>
      </c>
      <c r="D122" s="110" t="str">
        <f>"6250"</f>
        <v>6250</v>
      </c>
      <c r="E122" s="110" t="s">
        <v>171</v>
      </c>
      <c r="F122" s="110">
        <v>116</v>
      </c>
      <c r="G122" s="110">
        <v>116</v>
      </c>
      <c r="H122" s="110">
        <v>116</v>
      </c>
      <c r="I122" s="110">
        <v>116</v>
      </c>
      <c r="J122" s="110" t="s">
        <v>142</v>
      </c>
    </row>
    <row r="123" spans="1:10" x14ac:dyDescent="0.3">
      <c r="A123" s="110" t="str">
        <f t="shared" si="6"/>
        <v>B000</v>
      </c>
      <c r="B123" s="110" t="str">
        <f t="shared" si="7"/>
        <v>000</v>
      </c>
      <c r="C123" s="110" t="str">
        <f t="shared" si="9"/>
        <v>10</v>
      </c>
      <c r="D123" s="110" t="str">
        <f>"7000"</f>
        <v>7000</v>
      </c>
      <c r="E123" s="110" t="s">
        <v>180</v>
      </c>
      <c r="F123" s="28">
        <v>1436</v>
      </c>
      <c r="G123" s="28">
        <v>1436</v>
      </c>
      <c r="H123" s="28">
        <v>1436</v>
      </c>
      <c r="I123" s="28">
        <v>1436</v>
      </c>
      <c r="J123" s="110" t="s">
        <v>142</v>
      </c>
    </row>
    <row r="124" spans="1:10" x14ac:dyDescent="0.3">
      <c r="A124" s="110" t="str">
        <f t="shared" si="6"/>
        <v>B000</v>
      </c>
      <c r="B124" s="110" t="str">
        <f t="shared" si="7"/>
        <v>000</v>
      </c>
      <c r="C124" s="110" t="str">
        <f t="shared" si="9"/>
        <v>10</v>
      </c>
      <c r="D124" s="110" t="str">
        <f>"7080"</f>
        <v>7080</v>
      </c>
      <c r="E124" s="110" t="s">
        <v>454</v>
      </c>
      <c r="F124" s="110">
        <v>0</v>
      </c>
      <c r="G124" s="110">
        <v>0</v>
      </c>
      <c r="H124" s="110">
        <v>0</v>
      </c>
      <c r="I124" s="110">
        <v>0</v>
      </c>
      <c r="J124" s="110" t="s">
        <v>142</v>
      </c>
    </row>
    <row r="125" spans="1:10" x14ac:dyDescent="0.3">
      <c r="A125" s="110" t="str">
        <f t="shared" si="6"/>
        <v>B000</v>
      </c>
      <c r="B125" s="110" t="str">
        <f t="shared" si="7"/>
        <v>000</v>
      </c>
      <c r="C125" s="110" t="str">
        <f t="shared" si="9"/>
        <v>10</v>
      </c>
      <c r="D125" s="110" t="str">
        <f>"7294"</f>
        <v>7294</v>
      </c>
      <c r="E125" s="110" t="s">
        <v>6</v>
      </c>
      <c r="F125" s="110">
        <v>23</v>
      </c>
      <c r="G125" s="110">
        <v>23</v>
      </c>
      <c r="H125" s="110">
        <v>23</v>
      </c>
      <c r="I125" s="110">
        <v>23</v>
      </c>
      <c r="J125" s="110" t="s">
        <v>142</v>
      </c>
    </row>
    <row r="126" spans="1:10" x14ac:dyDescent="0.3">
      <c r="A126" s="110" t="str">
        <f t="shared" si="6"/>
        <v>B000</v>
      </c>
      <c r="B126" s="110" t="str">
        <f t="shared" si="7"/>
        <v>000</v>
      </c>
      <c r="C126" s="110" t="str">
        <f t="shared" si="9"/>
        <v>10</v>
      </c>
      <c r="D126" s="110" t="str">
        <f>"7301"</f>
        <v>7301</v>
      </c>
      <c r="E126" s="110" t="s">
        <v>197</v>
      </c>
      <c r="F126" s="110">
        <v>0</v>
      </c>
      <c r="G126" s="110">
        <v>0</v>
      </c>
      <c r="H126" s="110">
        <v>0</v>
      </c>
      <c r="I126" s="110">
        <v>0</v>
      </c>
      <c r="J126" s="110" t="s">
        <v>192</v>
      </c>
    </row>
    <row r="127" spans="1:10" x14ac:dyDescent="0.3">
      <c r="A127" s="110" t="str">
        <f t="shared" si="6"/>
        <v>B000</v>
      </c>
      <c r="B127" s="110" t="str">
        <f t="shared" si="7"/>
        <v>000</v>
      </c>
      <c r="C127" s="110" t="str">
        <f t="shared" si="9"/>
        <v>10</v>
      </c>
      <c r="D127" s="110" t="str">
        <f>"7302"</f>
        <v>7302</v>
      </c>
      <c r="E127" s="110" t="s">
        <v>206</v>
      </c>
      <c r="F127" s="110">
        <v>0</v>
      </c>
      <c r="G127" s="110">
        <v>0</v>
      </c>
      <c r="H127" s="110">
        <v>0</v>
      </c>
      <c r="I127" s="110">
        <v>0</v>
      </c>
      <c r="J127" s="110" t="s">
        <v>192</v>
      </c>
    </row>
    <row r="128" spans="1:10" x14ac:dyDescent="0.3">
      <c r="A128" s="110" t="str">
        <f t="shared" si="6"/>
        <v>B000</v>
      </c>
      <c r="B128" s="110" t="str">
        <f t="shared" si="7"/>
        <v>000</v>
      </c>
      <c r="C128" s="110" t="str">
        <f t="shared" si="9"/>
        <v>10</v>
      </c>
      <c r="D128" s="110" t="str">
        <f>"7370"</f>
        <v>7370</v>
      </c>
      <c r="E128" s="110" t="s">
        <v>198</v>
      </c>
      <c r="F128" s="110">
        <v>0</v>
      </c>
      <c r="G128" s="110">
        <v>0</v>
      </c>
      <c r="H128" s="110">
        <v>0</v>
      </c>
      <c r="I128" s="110">
        <v>0</v>
      </c>
      <c r="J128" s="110" t="s">
        <v>192</v>
      </c>
    </row>
    <row r="129" spans="1:10" x14ac:dyDescent="0.3">
      <c r="A129" s="110" t="str">
        <f t="shared" si="6"/>
        <v>B000</v>
      </c>
      <c r="B129" s="110" t="str">
        <f t="shared" si="7"/>
        <v>000</v>
      </c>
      <c r="C129" s="110" t="str">
        <f t="shared" si="9"/>
        <v>10</v>
      </c>
      <c r="D129" s="110" t="str">
        <f>"7398"</f>
        <v>7398</v>
      </c>
      <c r="E129" s="110" t="s">
        <v>199</v>
      </c>
      <c r="F129" s="110">
        <v>177</v>
      </c>
      <c r="G129" s="110">
        <v>177</v>
      </c>
      <c r="H129" s="110">
        <v>177</v>
      </c>
      <c r="I129" s="110">
        <v>177</v>
      </c>
      <c r="J129" s="110" t="s">
        <v>200</v>
      </c>
    </row>
    <row r="130" spans="1:10" x14ac:dyDescent="0.3">
      <c r="A130" s="110" t="str">
        <f t="shared" si="6"/>
        <v>B000</v>
      </c>
      <c r="B130" s="110" t="str">
        <f t="shared" si="7"/>
        <v>000</v>
      </c>
      <c r="C130" s="110" t="str">
        <f t="shared" ref="C130:C143" si="10">"16"</f>
        <v>16</v>
      </c>
      <c r="D130" s="110" t="str">
        <f>"6200"</f>
        <v>6200</v>
      </c>
      <c r="E130" s="110" t="s">
        <v>169</v>
      </c>
      <c r="F130" s="110">
        <v>112</v>
      </c>
      <c r="G130" s="110">
        <v>112</v>
      </c>
      <c r="H130" s="110">
        <v>112</v>
      </c>
      <c r="I130" s="110">
        <v>112</v>
      </c>
      <c r="J130" s="110" t="s">
        <v>142</v>
      </c>
    </row>
    <row r="131" spans="1:10" x14ac:dyDescent="0.3">
      <c r="A131" s="110" t="str">
        <f t="shared" si="6"/>
        <v>B000</v>
      </c>
      <c r="B131" s="110" t="str">
        <f t="shared" si="7"/>
        <v>000</v>
      </c>
      <c r="C131" s="110" t="str">
        <f t="shared" si="10"/>
        <v>16</v>
      </c>
      <c r="D131" s="110" t="str">
        <f>"6210"</f>
        <v>6210</v>
      </c>
      <c r="E131" s="110" t="s">
        <v>185</v>
      </c>
      <c r="F131" s="110">
        <v>10</v>
      </c>
      <c r="G131" s="110">
        <v>10</v>
      </c>
      <c r="H131" s="110">
        <v>10</v>
      </c>
      <c r="I131" s="110">
        <v>10</v>
      </c>
      <c r="J131" s="110" t="s">
        <v>142</v>
      </c>
    </row>
    <row r="132" spans="1:10" x14ac:dyDescent="0.3">
      <c r="A132" s="110" t="str">
        <f t="shared" si="6"/>
        <v>B000</v>
      </c>
      <c r="B132" s="110" t="str">
        <f t="shared" si="7"/>
        <v>000</v>
      </c>
      <c r="C132" s="110" t="str">
        <f t="shared" si="10"/>
        <v>16</v>
      </c>
      <c r="D132" s="110" t="str">
        <f>"6240"</f>
        <v>6240</v>
      </c>
      <c r="E132" s="110" t="s">
        <v>170</v>
      </c>
      <c r="F132" s="110">
        <v>347</v>
      </c>
      <c r="G132" s="110">
        <v>347</v>
      </c>
      <c r="H132" s="110">
        <v>347</v>
      </c>
      <c r="I132" s="110">
        <v>347</v>
      </c>
      <c r="J132" s="110" t="s">
        <v>142</v>
      </c>
    </row>
    <row r="133" spans="1:10" x14ac:dyDescent="0.3">
      <c r="A133" s="110" t="str">
        <f t="shared" si="6"/>
        <v>B000</v>
      </c>
      <c r="B133" s="110" t="str">
        <f t="shared" si="7"/>
        <v>000</v>
      </c>
      <c r="C133" s="110" t="str">
        <f t="shared" si="10"/>
        <v>16</v>
      </c>
      <c r="D133" s="110" t="str">
        <f>"6250"</f>
        <v>6250</v>
      </c>
      <c r="E133" s="110" t="s">
        <v>171</v>
      </c>
      <c r="F133" s="110">
        <v>99</v>
      </c>
      <c r="G133" s="110">
        <v>99</v>
      </c>
      <c r="H133" s="110">
        <v>99</v>
      </c>
      <c r="I133" s="110">
        <v>99</v>
      </c>
      <c r="J133" s="110" t="s">
        <v>142</v>
      </c>
    </row>
    <row r="134" spans="1:10" x14ac:dyDescent="0.3">
      <c r="A134" s="110" t="str">
        <f t="shared" si="6"/>
        <v>B000</v>
      </c>
      <c r="B134" s="110" t="str">
        <f t="shared" si="7"/>
        <v>000</v>
      </c>
      <c r="C134" s="110" t="str">
        <f t="shared" si="10"/>
        <v>16</v>
      </c>
      <c r="D134" s="110" t="str">
        <f>"7000"</f>
        <v>7000</v>
      </c>
      <c r="E134" s="110" t="s">
        <v>180</v>
      </c>
      <c r="F134" s="28">
        <v>7274</v>
      </c>
      <c r="G134" s="28">
        <v>7273</v>
      </c>
      <c r="H134" s="28">
        <v>7274</v>
      </c>
      <c r="I134" s="28">
        <v>7274</v>
      </c>
      <c r="J134" s="110" t="s">
        <v>142</v>
      </c>
    </row>
    <row r="135" spans="1:10" x14ac:dyDescent="0.3">
      <c r="A135" s="110" t="str">
        <f t="shared" si="6"/>
        <v>B000</v>
      </c>
      <c r="B135" s="110" t="str">
        <f t="shared" si="7"/>
        <v>000</v>
      </c>
      <c r="C135" s="110" t="str">
        <f t="shared" si="10"/>
        <v>16</v>
      </c>
      <c r="D135" s="110" t="str">
        <f>"7001"</f>
        <v>7001</v>
      </c>
      <c r="E135" s="110" t="s">
        <v>451</v>
      </c>
      <c r="F135" s="110">
        <v>0</v>
      </c>
      <c r="G135" s="110">
        <v>0</v>
      </c>
      <c r="H135" s="110">
        <v>0</v>
      </c>
      <c r="I135" s="110">
        <v>0</v>
      </c>
      <c r="J135" s="110" t="s">
        <v>142</v>
      </c>
    </row>
    <row r="136" spans="1:10" x14ac:dyDescent="0.3">
      <c r="A136" s="110" t="str">
        <f t="shared" si="6"/>
        <v>B000</v>
      </c>
      <c r="B136" s="110" t="str">
        <f t="shared" si="7"/>
        <v>000</v>
      </c>
      <c r="C136" s="110" t="str">
        <f t="shared" si="10"/>
        <v>16</v>
      </c>
      <c r="D136" s="110" t="str">
        <f>"7070"</f>
        <v>7070</v>
      </c>
      <c r="E136" s="110" t="s">
        <v>208</v>
      </c>
      <c r="F136" s="110">
        <v>0</v>
      </c>
      <c r="G136" s="110">
        <v>0</v>
      </c>
      <c r="H136" s="110">
        <v>0</v>
      </c>
      <c r="I136" s="110">
        <v>0</v>
      </c>
      <c r="J136" s="110" t="s">
        <v>192</v>
      </c>
    </row>
    <row r="137" spans="1:10" x14ac:dyDescent="0.3">
      <c r="A137" s="110" t="str">
        <f t="shared" si="6"/>
        <v>B000</v>
      </c>
      <c r="B137" s="110" t="str">
        <f t="shared" si="7"/>
        <v>000</v>
      </c>
      <c r="C137" s="110" t="str">
        <f t="shared" si="10"/>
        <v>16</v>
      </c>
      <c r="D137" s="110" t="str">
        <f>"7071"</f>
        <v>7071</v>
      </c>
      <c r="E137" s="110" t="s">
        <v>193</v>
      </c>
      <c r="F137" s="110">
        <v>0</v>
      </c>
      <c r="G137" s="110">
        <v>0</v>
      </c>
      <c r="H137" s="110">
        <v>0</v>
      </c>
      <c r="I137" s="110">
        <v>0</v>
      </c>
      <c r="J137" s="110" t="s">
        <v>192</v>
      </c>
    </row>
    <row r="138" spans="1:10" x14ac:dyDescent="0.3">
      <c r="A138" s="110" t="str">
        <f t="shared" si="6"/>
        <v>B000</v>
      </c>
      <c r="B138" s="110" t="str">
        <f t="shared" si="7"/>
        <v>000</v>
      </c>
      <c r="C138" s="110" t="str">
        <f t="shared" si="10"/>
        <v>16</v>
      </c>
      <c r="D138" s="110" t="str">
        <f>"7073"</f>
        <v>7073</v>
      </c>
      <c r="E138" s="110" t="s">
        <v>194</v>
      </c>
      <c r="F138" s="110">
        <v>0</v>
      </c>
      <c r="G138" s="110">
        <v>0</v>
      </c>
      <c r="H138" s="110">
        <v>0</v>
      </c>
      <c r="I138" s="110">
        <v>0</v>
      </c>
      <c r="J138" s="110" t="s">
        <v>192</v>
      </c>
    </row>
    <row r="139" spans="1:10" x14ac:dyDescent="0.3">
      <c r="A139" s="110" t="str">
        <f t="shared" si="6"/>
        <v>B000</v>
      </c>
      <c r="B139" s="110" t="str">
        <f t="shared" si="7"/>
        <v>000</v>
      </c>
      <c r="C139" s="110" t="str">
        <f t="shared" si="10"/>
        <v>16</v>
      </c>
      <c r="D139" s="110" t="str">
        <f>"7080"</f>
        <v>7080</v>
      </c>
      <c r="E139" s="110" t="s">
        <v>454</v>
      </c>
      <c r="F139" s="110">
        <v>0</v>
      </c>
      <c r="G139" s="110">
        <v>0</v>
      </c>
      <c r="H139" s="110">
        <v>0</v>
      </c>
      <c r="I139" s="110">
        <v>0</v>
      </c>
      <c r="J139" s="110" t="s">
        <v>142</v>
      </c>
    </row>
    <row r="140" spans="1:10" x14ac:dyDescent="0.3">
      <c r="A140" s="110" t="str">
        <f t="shared" si="6"/>
        <v>B000</v>
      </c>
      <c r="B140" s="110" t="str">
        <f t="shared" si="7"/>
        <v>000</v>
      </c>
      <c r="C140" s="110" t="str">
        <f t="shared" si="10"/>
        <v>16</v>
      </c>
      <c r="D140" s="110" t="str">
        <f>"7120"</f>
        <v>7120</v>
      </c>
      <c r="E140" s="110" t="s">
        <v>209</v>
      </c>
      <c r="F140" s="110">
        <v>255</v>
      </c>
      <c r="G140" s="110">
        <v>255</v>
      </c>
      <c r="H140" s="110">
        <v>255</v>
      </c>
      <c r="I140" s="110">
        <v>255</v>
      </c>
      <c r="J140" s="110" t="s">
        <v>142</v>
      </c>
    </row>
    <row r="141" spans="1:10" x14ac:dyDescent="0.3">
      <c r="A141" s="110" t="str">
        <f t="shared" si="6"/>
        <v>B000</v>
      </c>
      <c r="B141" s="110" t="str">
        <f t="shared" si="7"/>
        <v>000</v>
      </c>
      <c r="C141" s="110" t="str">
        <f t="shared" si="10"/>
        <v>16</v>
      </c>
      <c r="D141" s="110" t="str">
        <f>"7294"</f>
        <v>7294</v>
      </c>
      <c r="E141" s="110" t="s">
        <v>6</v>
      </c>
      <c r="F141" s="110">
        <v>38</v>
      </c>
      <c r="G141" s="110">
        <v>38</v>
      </c>
      <c r="H141" s="110">
        <v>38</v>
      </c>
      <c r="I141" s="110">
        <v>38</v>
      </c>
      <c r="J141" s="110" t="s">
        <v>142</v>
      </c>
    </row>
    <row r="142" spans="1:10" x14ac:dyDescent="0.3">
      <c r="A142" s="110" t="str">
        <f t="shared" ref="A142:A205" si="11">"B000"</f>
        <v>B000</v>
      </c>
      <c r="B142" s="110" t="str">
        <f t="shared" ref="B142:B205" si="12">"000"</f>
        <v>000</v>
      </c>
      <c r="C142" s="110" t="str">
        <f t="shared" si="10"/>
        <v>16</v>
      </c>
      <c r="D142" s="110" t="str">
        <f>"7370"</f>
        <v>7370</v>
      </c>
      <c r="E142" s="110" t="s">
        <v>198</v>
      </c>
      <c r="F142" s="110">
        <v>500</v>
      </c>
      <c r="G142" s="110">
        <v>500</v>
      </c>
      <c r="H142" s="110">
        <v>500</v>
      </c>
      <c r="I142" s="110">
        <v>500</v>
      </c>
      <c r="J142" s="110" t="s">
        <v>192</v>
      </c>
    </row>
    <row r="143" spans="1:10" x14ac:dyDescent="0.3">
      <c r="A143" s="110" t="str">
        <f t="shared" si="11"/>
        <v>B000</v>
      </c>
      <c r="B143" s="110" t="str">
        <f t="shared" si="12"/>
        <v>000</v>
      </c>
      <c r="C143" s="110" t="str">
        <f t="shared" si="10"/>
        <v>16</v>
      </c>
      <c r="D143" s="110" t="str">
        <f>"7398"</f>
        <v>7398</v>
      </c>
      <c r="E143" s="110" t="s">
        <v>199</v>
      </c>
      <c r="F143" s="110">
        <v>840</v>
      </c>
      <c r="G143" s="110">
        <v>840</v>
      </c>
      <c r="H143" s="110">
        <v>840</v>
      </c>
      <c r="I143" s="110">
        <v>840</v>
      </c>
      <c r="J143" s="110" t="s">
        <v>200</v>
      </c>
    </row>
    <row r="144" spans="1:10" x14ac:dyDescent="0.3">
      <c r="A144" s="110" t="str">
        <f t="shared" si="11"/>
        <v>B000</v>
      </c>
      <c r="B144" s="110" t="str">
        <f t="shared" si="12"/>
        <v>000</v>
      </c>
      <c r="C144" s="110" t="str">
        <f t="shared" ref="C144:C149" si="13">"17"</f>
        <v>17</v>
      </c>
      <c r="D144" s="110" t="str">
        <f>"6200"</f>
        <v>6200</v>
      </c>
      <c r="E144" s="110" t="s">
        <v>169</v>
      </c>
      <c r="F144" s="28">
        <v>5143</v>
      </c>
      <c r="G144" s="28">
        <v>5143</v>
      </c>
      <c r="H144" s="28">
        <v>5143</v>
      </c>
      <c r="I144" s="28">
        <v>5143</v>
      </c>
      <c r="J144" s="110" t="s">
        <v>142</v>
      </c>
    </row>
    <row r="145" spans="1:10" x14ac:dyDescent="0.3">
      <c r="A145" s="110" t="str">
        <f t="shared" si="11"/>
        <v>B000</v>
      </c>
      <c r="B145" s="110" t="str">
        <f t="shared" si="12"/>
        <v>000</v>
      </c>
      <c r="C145" s="110" t="str">
        <f t="shared" si="13"/>
        <v>17</v>
      </c>
      <c r="D145" s="110" t="str">
        <f>"7000"</f>
        <v>7000</v>
      </c>
      <c r="E145" s="110" t="s">
        <v>180</v>
      </c>
      <c r="F145" s="28">
        <v>28887</v>
      </c>
      <c r="G145" s="28">
        <v>25021</v>
      </c>
      <c r="H145" s="28">
        <v>28887</v>
      </c>
      <c r="I145" s="28">
        <v>28887</v>
      </c>
      <c r="J145" s="110" t="s">
        <v>142</v>
      </c>
    </row>
    <row r="146" spans="1:10" x14ac:dyDescent="0.3">
      <c r="A146" s="110" t="str">
        <f t="shared" si="11"/>
        <v>B000</v>
      </c>
      <c r="B146" s="110" t="str">
        <f t="shared" si="12"/>
        <v>000</v>
      </c>
      <c r="C146" s="110" t="str">
        <f t="shared" si="13"/>
        <v>17</v>
      </c>
      <c r="D146" s="110" t="str">
        <f>"7020"</f>
        <v>7020</v>
      </c>
      <c r="E146" s="110" t="s">
        <v>11</v>
      </c>
      <c r="F146" s="28">
        <v>1000</v>
      </c>
      <c r="G146" s="28">
        <v>1000</v>
      </c>
      <c r="H146" s="28">
        <v>1000</v>
      </c>
      <c r="I146" s="28">
        <v>1000</v>
      </c>
      <c r="J146" s="110" t="s">
        <v>142</v>
      </c>
    </row>
    <row r="147" spans="1:10" x14ac:dyDescent="0.3">
      <c r="A147" s="110" t="str">
        <f t="shared" si="11"/>
        <v>B000</v>
      </c>
      <c r="B147" s="110" t="str">
        <f t="shared" si="12"/>
        <v>000</v>
      </c>
      <c r="C147" s="110" t="str">
        <f t="shared" si="13"/>
        <v>17</v>
      </c>
      <c r="D147" s="110" t="str">
        <f>"7398"</f>
        <v>7398</v>
      </c>
      <c r="E147" s="110" t="s">
        <v>199</v>
      </c>
      <c r="F147" s="28">
        <v>4605</v>
      </c>
      <c r="G147" s="28">
        <v>4264</v>
      </c>
      <c r="H147" s="28">
        <v>4605</v>
      </c>
      <c r="I147" s="28">
        <v>4605</v>
      </c>
      <c r="J147" s="110" t="s">
        <v>200</v>
      </c>
    </row>
    <row r="148" spans="1:10" x14ac:dyDescent="0.3">
      <c r="A148" s="110" t="str">
        <f t="shared" si="11"/>
        <v>B000</v>
      </c>
      <c r="B148" s="110" t="str">
        <f t="shared" si="12"/>
        <v>000</v>
      </c>
      <c r="C148" s="110" t="str">
        <f t="shared" si="13"/>
        <v>17</v>
      </c>
      <c r="D148" s="110" t="str">
        <f>"7771"</f>
        <v>7771</v>
      </c>
      <c r="E148" s="110" t="s">
        <v>202</v>
      </c>
      <c r="F148" s="110">
        <v>144</v>
      </c>
      <c r="G148" s="110">
        <v>144</v>
      </c>
      <c r="H148" s="110">
        <v>144</v>
      </c>
      <c r="I148" s="110">
        <v>144</v>
      </c>
      <c r="J148" s="110" t="s">
        <v>203</v>
      </c>
    </row>
    <row r="149" spans="1:10" x14ac:dyDescent="0.3">
      <c r="A149" s="110" t="str">
        <f t="shared" si="11"/>
        <v>B000</v>
      </c>
      <c r="B149" s="110" t="str">
        <f t="shared" si="12"/>
        <v>000</v>
      </c>
      <c r="C149" s="110" t="str">
        <f t="shared" si="13"/>
        <v>17</v>
      </c>
      <c r="D149" s="110" t="str">
        <f>"8503"</f>
        <v>8503</v>
      </c>
      <c r="E149" s="110" t="s">
        <v>233</v>
      </c>
      <c r="F149" s="28">
        <v>253921</v>
      </c>
      <c r="G149" s="28">
        <v>257779</v>
      </c>
      <c r="H149" s="28">
        <v>253921</v>
      </c>
      <c r="I149" s="28">
        <v>253921</v>
      </c>
      <c r="J149" s="110" t="s">
        <v>142</v>
      </c>
    </row>
    <row r="150" spans="1:10" x14ac:dyDescent="0.3">
      <c r="A150" s="110" t="str">
        <f t="shared" si="11"/>
        <v>B000</v>
      </c>
      <c r="B150" s="110" t="str">
        <f t="shared" si="12"/>
        <v>000</v>
      </c>
      <c r="C150" s="110" t="str">
        <f>"21"</f>
        <v>21</v>
      </c>
      <c r="D150" s="110" t="str">
        <f>"7000"</f>
        <v>7000</v>
      </c>
      <c r="E150" s="110" t="s">
        <v>180</v>
      </c>
      <c r="F150" s="110">
        <v>0</v>
      </c>
      <c r="G150" s="110">
        <v>0</v>
      </c>
      <c r="H150" s="110">
        <v>0</v>
      </c>
      <c r="I150" s="110">
        <v>0</v>
      </c>
      <c r="J150" s="110" t="s">
        <v>142</v>
      </c>
    </row>
    <row r="151" spans="1:10" x14ac:dyDescent="0.3">
      <c r="A151" s="110" t="str">
        <f t="shared" si="11"/>
        <v>B000</v>
      </c>
      <c r="B151" s="110" t="str">
        <f t="shared" si="12"/>
        <v>000</v>
      </c>
      <c r="C151" s="110" t="str">
        <f>"21"</f>
        <v>21</v>
      </c>
      <c r="D151" s="110" t="str">
        <f>"7001"</f>
        <v>7001</v>
      </c>
      <c r="E151" s="110" t="s">
        <v>451</v>
      </c>
      <c r="F151" s="110">
        <v>0</v>
      </c>
      <c r="G151" s="110">
        <v>0</v>
      </c>
      <c r="H151" s="110">
        <v>0</v>
      </c>
      <c r="I151" s="110">
        <v>0</v>
      </c>
      <c r="J151" s="110" t="s">
        <v>142</v>
      </c>
    </row>
    <row r="152" spans="1:10" x14ac:dyDescent="0.3">
      <c r="A152" s="110" t="str">
        <f t="shared" si="11"/>
        <v>B000</v>
      </c>
      <c r="B152" s="110" t="str">
        <f t="shared" si="12"/>
        <v>000</v>
      </c>
      <c r="C152" s="110" t="str">
        <f>"21"</f>
        <v>21</v>
      </c>
      <c r="D152" s="110" t="str">
        <f>"7020"</f>
        <v>7020</v>
      </c>
      <c r="E152" s="110" t="s">
        <v>11</v>
      </c>
      <c r="F152" s="110">
        <v>0</v>
      </c>
      <c r="G152" s="110">
        <v>0</v>
      </c>
      <c r="H152" s="110">
        <v>0</v>
      </c>
      <c r="I152" s="110">
        <v>0</v>
      </c>
      <c r="J152" s="110" t="s">
        <v>142</v>
      </c>
    </row>
    <row r="153" spans="1:10" x14ac:dyDescent="0.3">
      <c r="A153" s="110" t="str">
        <f t="shared" si="11"/>
        <v>B000</v>
      </c>
      <c r="B153" s="110" t="str">
        <f t="shared" si="12"/>
        <v>000</v>
      </c>
      <c r="C153" s="110" t="str">
        <f>"21"</f>
        <v>21</v>
      </c>
      <c r="D153" s="110" t="str">
        <f>"7060"</f>
        <v>7060</v>
      </c>
      <c r="E153" s="110" t="s">
        <v>213</v>
      </c>
      <c r="F153" s="110">
        <v>0</v>
      </c>
      <c r="G153" s="110">
        <v>0</v>
      </c>
      <c r="H153" s="110">
        <v>0</v>
      </c>
      <c r="I153" s="110">
        <v>0</v>
      </c>
      <c r="J153" s="110" t="s">
        <v>192</v>
      </c>
    </row>
    <row r="154" spans="1:10" x14ac:dyDescent="0.3">
      <c r="A154" s="110" t="str">
        <f t="shared" si="11"/>
        <v>B000</v>
      </c>
      <c r="B154" s="110" t="str">
        <f t="shared" si="12"/>
        <v>000</v>
      </c>
      <c r="C154" s="110" t="str">
        <f>"21"</f>
        <v>21</v>
      </c>
      <c r="D154" s="110" t="str">
        <f>"7398"</f>
        <v>7398</v>
      </c>
      <c r="E154" s="110" t="s">
        <v>199</v>
      </c>
      <c r="F154" s="110">
        <v>0</v>
      </c>
      <c r="G154" s="110">
        <v>0</v>
      </c>
      <c r="H154" s="110">
        <v>0</v>
      </c>
      <c r="I154" s="110">
        <v>0</v>
      </c>
      <c r="J154" s="110" t="s">
        <v>200</v>
      </c>
    </row>
    <row r="155" spans="1:10" x14ac:dyDescent="0.3">
      <c r="A155" s="110" t="str">
        <f t="shared" si="11"/>
        <v>B000</v>
      </c>
      <c r="B155" s="110" t="str">
        <f t="shared" si="12"/>
        <v>000</v>
      </c>
      <c r="C155" s="110" t="str">
        <f t="shared" ref="C155:C218" si="14">"22"</f>
        <v>22</v>
      </c>
      <c r="D155" s="110" t="str">
        <f>"6100"</f>
        <v>6100</v>
      </c>
      <c r="E155" s="110" t="s">
        <v>181</v>
      </c>
      <c r="F155" s="28">
        <v>3189</v>
      </c>
      <c r="G155" s="28">
        <v>3189</v>
      </c>
      <c r="H155" s="28">
        <v>3189</v>
      </c>
      <c r="I155" s="28">
        <v>3189</v>
      </c>
      <c r="J155" s="110" t="s">
        <v>142</v>
      </c>
    </row>
    <row r="156" spans="1:10" x14ac:dyDescent="0.3">
      <c r="A156" s="110" t="str">
        <f t="shared" si="11"/>
        <v>B000</v>
      </c>
      <c r="B156" s="110" t="str">
        <f t="shared" si="12"/>
        <v>000</v>
      </c>
      <c r="C156" s="110" t="str">
        <f t="shared" si="14"/>
        <v>22</v>
      </c>
      <c r="D156" s="110" t="str">
        <f>"6110"</f>
        <v>6110</v>
      </c>
      <c r="E156" s="110" t="s">
        <v>455</v>
      </c>
      <c r="F156" s="110">
        <v>16</v>
      </c>
      <c r="G156" s="110">
        <v>16</v>
      </c>
      <c r="H156" s="110">
        <v>16</v>
      </c>
      <c r="I156" s="110">
        <v>16</v>
      </c>
      <c r="J156" s="110" t="s">
        <v>142</v>
      </c>
    </row>
    <row r="157" spans="1:10" x14ac:dyDescent="0.3">
      <c r="A157" s="110" t="str">
        <f t="shared" si="11"/>
        <v>B000</v>
      </c>
      <c r="B157" s="110" t="str">
        <f t="shared" si="12"/>
        <v>000</v>
      </c>
      <c r="C157" s="110" t="str">
        <f t="shared" si="14"/>
        <v>22</v>
      </c>
      <c r="D157" s="110" t="str">
        <f>"6130"</f>
        <v>6130</v>
      </c>
      <c r="E157" s="110" t="s">
        <v>182</v>
      </c>
      <c r="F157" s="110">
        <v>200</v>
      </c>
      <c r="G157" s="110">
        <v>200</v>
      </c>
      <c r="H157" s="110">
        <v>200</v>
      </c>
      <c r="I157" s="110">
        <v>200</v>
      </c>
      <c r="J157" s="110" t="s">
        <v>142</v>
      </c>
    </row>
    <row r="158" spans="1:10" x14ac:dyDescent="0.3">
      <c r="A158" s="110" t="str">
        <f t="shared" si="11"/>
        <v>B000</v>
      </c>
      <c r="B158" s="110" t="str">
        <f t="shared" si="12"/>
        <v>000</v>
      </c>
      <c r="C158" s="110" t="str">
        <f t="shared" si="14"/>
        <v>22</v>
      </c>
      <c r="D158" s="110" t="str">
        <f>"6140"</f>
        <v>6140</v>
      </c>
      <c r="E158" s="110" t="s">
        <v>183</v>
      </c>
      <c r="F158" s="110">
        <v>250</v>
      </c>
      <c r="G158" s="110">
        <v>250</v>
      </c>
      <c r="H158" s="110">
        <v>250</v>
      </c>
      <c r="I158" s="110">
        <v>250</v>
      </c>
      <c r="J158" s="110" t="s">
        <v>142</v>
      </c>
    </row>
    <row r="159" spans="1:10" x14ac:dyDescent="0.3">
      <c r="A159" s="110" t="str">
        <f t="shared" si="11"/>
        <v>B000</v>
      </c>
      <c r="B159" s="110" t="str">
        <f t="shared" si="12"/>
        <v>000</v>
      </c>
      <c r="C159" s="110" t="str">
        <f t="shared" si="14"/>
        <v>22</v>
      </c>
      <c r="D159" s="110" t="str">
        <f>"6150"</f>
        <v>6150</v>
      </c>
      <c r="E159" s="110" t="s">
        <v>184</v>
      </c>
      <c r="F159" s="28">
        <v>2120</v>
      </c>
      <c r="G159" s="28">
        <v>2120</v>
      </c>
      <c r="H159" s="28">
        <v>2120</v>
      </c>
      <c r="I159" s="28">
        <v>2120</v>
      </c>
      <c r="J159" s="110" t="s">
        <v>142</v>
      </c>
    </row>
    <row r="160" spans="1:10" x14ac:dyDescent="0.3">
      <c r="A160" s="110" t="str">
        <f t="shared" si="11"/>
        <v>B000</v>
      </c>
      <c r="B160" s="110" t="str">
        <f t="shared" si="12"/>
        <v>000</v>
      </c>
      <c r="C160" s="110" t="str">
        <f t="shared" si="14"/>
        <v>22</v>
      </c>
      <c r="D160" s="110" t="str">
        <f>"6200"</f>
        <v>6200</v>
      </c>
      <c r="E160" s="110" t="s">
        <v>169</v>
      </c>
      <c r="F160" s="28">
        <v>4501</v>
      </c>
      <c r="G160" s="28">
        <v>4501</v>
      </c>
      <c r="H160" s="28">
        <v>4501</v>
      </c>
      <c r="I160" s="28">
        <v>4501</v>
      </c>
      <c r="J160" s="110" t="s">
        <v>142</v>
      </c>
    </row>
    <row r="161" spans="1:10" x14ac:dyDescent="0.3">
      <c r="A161" s="110" t="str">
        <f t="shared" si="11"/>
        <v>B000</v>
      </c>
      <c r="B161" s="110" t="str">
        <f t="shared" si="12"/>
        <v>000</v>
      </c>
      <c r="C161" s="110" t="str">
        <f t="shared" si="14"/>
        <v>22</v>
      </c>
      <c r="D161" s="110" t="str">
        <f>"6210"</f>
        <v>6210</v>
      </c>
      <c r="E161" s="110" t="s">
        <v>185</v>
      </c>
      <c r="F161" s="110">
        <v>660</v>
      </c>
      <c r="G161" s="110">
        <v>660</v>
      </c>
      <c r="H161" s="110">
        <v>660</v>
      </c>
      <c r="I161" s="110">
        <v>660</v>
      </c>
      <c r="J161" s="110" t="s">
        <v>142</v>
      </c>
    </row>
    <row r="162" spans="1:10" x14ac:dyDescent="0.3">
      <c r="A162" s="110" t="str">
        <f t="shared" si="11"/>
        <v>B000</v>
      </c>
      <c r="B162" s="110" t="str">
        <f t="shared" si="12"/>
        <v>000</v>
      </c>
      <c r="C162" s="110" t="str">
        <f t="shared" si="14"/>
        <v>22</v>
      </c>
      <c r="D162" s="110" t="str">
        <f>"6215"</f>
        <v>6215</v>
      </c>
      <c r="E162" s="110" t="s">
        <v>186</v>
      </c>
      <c r="F162" s="28">
        <v>1635</v>
      </c>
      <c r="G162" s="28">
        <v>1635</v>
      </c>
      <c r="H162" s="28">
        <v>1635</v>
      </c>
      <c r="I162" s="28">
        <v>1635</v>
      </c>
      <c r="J162" s="110" t="s">
        <v>142</v>
      </c>
    </row>
    <row r="163" spans="1:10" x14ac:dyDescent="0.3">
      <c r="A163" s="110" t="str">
        <f t="shared" si="11"/>
        <v>B000</v>
      </c>
      <c r="B163" s="110" t="str">
        <f t="shared" si="12"/>
        <v>000</v>
      </c>
      <c r="C163" s="110" t="str">
        <f t="shared" si="14"/>
        <v>22</v>
      </c>
      <c r="D163" s="110" t="str">
        <f>"6230"</f>
        <v>6230</v>
      </c>
      <c r="E163" s="110" t="s">
        <v>217</v>
      </c>
      <c r="F163" s="110">
        <v>0</v>
      </c>
      <c r="G163" s="110">
        <v>0</v>
      </c>
      <c r="H163" s="110">
        <v>0</v>
      </c>
      <c r="I163" s="110">
        <v>0</v>
      </c>
      <c r="J163" s="110" t="s">
        <v>142</v>
      </c>
    </row>
    <row r="164" spans="1:10" x14ac:dyDescent="0.3">
      <c r="A164" s="110" t="str">
        <f t="shared" si="11"/>
        <v>B000</v>
      </c>
      <c r="B164" s="110" t="str">
        <f t="shared" si="12"/>
        <v>000</v>
      </c>
      <c r="C164" s="110" t="str">
        <f t="shared" si="14"/>
        <v>22</v>
      </c>
      <c r="D164" s="110" t="str">
        <f>"6240"</f>
        <v>6240</v>
      </c>
      <c r="E164" s="110" t="s">
        <v>170</v>
      </c>
      <c r="F164" s="28">
        <v>2283</v>
      </c>
      <c r="G164" s="28">
        <v>2283</v>
      </c>
      <c r="H164" s="28">
        <v>2283</v>
      </c>
      <c r="I164" s="28">
        <v>2283</v>
      </c>
      <c r="J164" s="110" t="s">
        <v>142</v>
      </c>
    </row>
    <row r="165" spans="1:10" x14ac:dyDescent="0.3">
      <c r="A165" s="110" t="str">
        <f t="shared" si="11"/>
        <v>B000</v>
      </c>
      <c r="B165" s="110" t="str">
        <f t="shared" si="12"/>
        <v>000</v>
      </c>
      <c r="C165" s="110" t="str">
        <f t="shared" si="14"/>
        <v>22</v>
      </c>
      <c r="D165" s="110" t="str">
        <f>"6250"</f>
        <v>6250</v>
      </c>
      <c r="E165" s="110" t="s">
        <v>171</v>
      </c>
      <c r="F165" s="28">
        <v>11164</v>
      </c>
      <c r="G165" s="28">
        <v>11164</v>
      </c>
      <c r="H165" s="28">
        <v>11164</v>
      </c>
      <c r="I165" s="28">
        <v>11164</v>
      </c>
      <c r="J165" s="110" t="s">
        <v>142</v>
      </c>
    </row>
    <row r="166" spans="1:10" x14ac:dyDescent="0.3">
      <c r="A166" s="110" t="str">
        <f t="shared" si="11"/>
        <v>B000</v>
      </c>
      <c r="B166" s="110" t="str">
        <f t="shared" si="12"/>
        <v>000</v>
      </c>
      <c r="C166" s="110" t="str">
        <f t="shared" si="14"/>
        <v>22</v>
      </c>
      <c r="D166" s="110" t="str">
        <f>"6251"</f>
        <v>6251</v>
      </c>
      <c r="E166" s="110" t="s">
        <v>456</v>
      </c>
      <c r="F166" s="110">
        <v>300</v>
      </c>
      <c r="G166" s="110">
        <v>300</v>
      </c>
      <c r="H166" s="110">
        <v>300</v>
      </c>
      <c r="I166" s="110">
        <v>300</v>
      </c>
      <c r="J166" s="110" t="s">
        <v>142</v>
      </c>
    </row>
    <row r="167" spans="1:10" x14ac:dyDescent="0.3">
      <c r="A167" s="110" t="str">
        <f t="shared" si="11"/>
        <v>B000</v>
      </c>
      <c r="B167" s="110" t="str">
        <f t="shared" si="12"/>
        <v>000</v>
      </c>
      <c r="C167" s="110" t="str">
        <f t="shared" si="14"/>
        <v>22</v>
      </c>
      <c r="D167" s="110" t="str">
        <f>"7000"</f>
        <v>7000</v>
      </c>
      <c r="E167" s="110" t="s">
        <v>180</v>
      </c>
      <c r="F167" s="28">
        <v>176602</v>
      </c>
      <c r="G167" s="28">
        <v>147440</v>
      </c>
      <c r="H167" s="28">
        <v>176602</v>
      </c>
      <c r="I167" s="28">
        <v>176602</v>
      </c>
      <c r="J167" s="110" t="s">
        <v>142</v>
      </c>
    </row>
    <row r="168" spans="1:10" x14ac:dyDescent="0.3">
      <c r="A168" s="110" t="str">
        <f t="shared" si="11"/>
        <v>B000</v>
      </c>
      <c r="B168" s="110" t="str">
        <f t="shared" si="12"/>
        <v>000</v>
      </c>
      <c r="C168" s="110" t="str">
        <f t="shared" si="14"/>
        <v>22</v>
      </c>
      <c r="D168" s="110" t="str">
        <f>"7001"</f>
        <v>7001</v>
      </c>
      <c r="E168" s="110" t="s">
        <v>451</v>
      </c>
      <c r="F168" s="110">
        <v>0</v>
      </c>
      <c r="G168" s="110">
        <v>0</v>
      </c>
      <c r="H168" s="110">
        <v>0</v>
      </c>
      <c r="I168" s="110">
        <v>0</v>
      </c>
      <c r="J168" s="110" t="s">
        <v>142</v>
      </c>
    </row>
    <row r="169" spans="1:10" x14ac:dyDescent="0.3">
      <c r="A169" s="110" t="str">
        <f t="shared" si="11"/>
        <v>B000</v>
      </c>
      <c r="B169" s="110" t="str">
        <f t="shared" si="12"/>
        <v>000</v>
      </c>
      <c r="C169" s="110" t="str">
        <f t="shared" si="14"/>
        <v>22</v>
      </c>
      <c r="D169" s="110" t="str">
        <f>"7020"</f>
        <v>7020</v>
      </c>
      <c r="E169" s="110" t="s">
        <v>11</v>
      </c>
      <c r="F169" s="28">
        <v>8100</v>
      </c>
      <c r="G169" s="28">
        <v>8100</v>
      </c>
      <c r="H169" s="28">
        <v>8100</v>
      </c>
      <c r="I169" s="28">
        <v>8100</v>
      </c>
      <c r="J169" s="110" t="s">
        <v>142</v>
      </c>
    </row>
    <row r="170" spans="1:10" x14ac:dyDescent="0.3">
      <c r="A170" s="110" t="str">
        <f t="shared" si="11"/>
        <v>B000</v>
      </c>
      <c r="B170" s="110" t="str">
        <f t="shared" si="12"/>
        <v>000</v>
      </c>
      <c r="C170" s="110" t="str">
        <f t="shared" si="14"/>
        <v>22</v>
      </c>
      <c r="D170" s="110" t="str">
        <f>"7028"</f>
        <v>7028</v>
      </c>
      <c r="E170" s="110" t="s">
        <v>218</v>
      </c>
      <c r="F170" s="110">
        <v>0</v>
      </c>
      <c r="G170" s="110">
        <v>0</v>
      </c>
      <c r="H170" s="110">
        <v>0</v>
      </c>
      <c r="I170" s="110">
        <v>0</v>
      </c>
      <c r="J170" s="110" t="s">
        <v>142</v>
      </c>
    </row>
    <row r="171" spans="1:10" x14ac:dyDescent="0.3">
      <c r="A171" s="110" t="str">
        <f t="shared" si="11"/>
        <v>B000</v>
      </c>
      <c r="B171" s="110" t="str">
        <f t="shared" si="12"/>
        <v>000</v>
      </c>
      <c r="C171" s="110" t="str">
        <f t="shared" si="14"/>
        <v>22</v>
      </c>
      <c r="D171" s="110" t="str">
        <f>"7030"</f>
        <v>7030</v>
      </c>
      <c r="E171" s="110" t="s">
        <v>187</v>
      </c>
      <c r="F171" s="110">
        <v>296</v>
      </c>
      <c r="G171" s="110">
        <v>296</v>
      </c>
      <c r="H171" s="110">
        <v>296</v>
      </c>
      <c r="I171" s="110">
        <v>296</v>
      </c>
      <c r="J171" s="110" t="s">
        <v>142</v>
      </c>
    </row>
    <row r="172" spans="1:10" x14ac:dyDescent="0.3">
      <c r="A172" s="110" t="str">
        <f t="shared" si="11"/>
        <v>B000</v>
      </c>
      <c r="B172" s="110" t="str">
        <f t="shared" si="12"/>
        <v>000</v>
      </c>
      <c r="C172" s="110" t="str">
        <f t="shared" si="14"/>
        <v>22</v>
      </c>
      <c r="D172" s="110" t="str">
        <f>"7040"</f>
        <v>7040</v>
      </c>
      <c r="E172" s="110" t="s">
        <v>10</v>
      </c>
      <c r="F172" s="110">
        <v>0</v>
      </c>
      <c r="G172" s="110">
        <v>0</v>
      </c>
      <c r="H172" s="110">
        <v>0</v>
      </c>
      <c r="I172" s="110">
        <v>0</v>
      </c>
      <c r="J172" s="110" t="s">
        <v>142</v>
      </c>
    </row>
    <row r="173" spans="1:10" x14ac:dyDescent="0.3">
      <c r="A173" s="110" t="str">
        <f t="shared" si="11"/>
        <v>B000</v>
      </c>
      <c r="B173" s="110" t="str">
        <f t="shared" si="12"/>
        <v>000</v>
      </c>
      <c r="C173" s="110" t="str">
        <f t="shared" si="14"/>
        <v>22</v>
      </c>
      <c r="D173" s="110" t="str">
        <f>"7044"</f>
        <v>7044</v>
      </c>
      <c r="E173" s="110" t="s">
        <v>448</v>
      </c>
      <c r="F173" s="28">
        <v>4699</v>
      </c>
      <c r="G173" s="28">
        <v>4699</v>
      </c>
      <c r="H173" s="28">
        <v>4699</v>
      </c>
      <c r="I173" s="28">
        <v>4699</v>
      </c>
      <c r="J173" s="110" t="s">
        <v>142</v>
      </c>
    </row>
    <row r="174" spans="1:10" x14ac:dyDescent="0.3">
      <c r="A174" s="110" t="str">
        <f t="shared" si="11"/>
        <v>B000</v>
      </c>
      <c r="B174" s="110" t="str">
        <f t="shared" si="12"/>
        <v>000</v>
      </c>
      <c r="C174" s="110" t="str">
        <f t="shared" si="14"/>
        <v>22</v>
      </c>
      <c r="D174" s="110" t="str">
        <f>"7046"</f>
        <v>7046</v>
      </c>
      <c r="E174" s="110" t="s">
        <v>457</v>
      </c>
      <c r="F174" s="110">
        <v>52</v>
      </c>
      <c r="G174" s="110">
        <v>52</v>
      </c>
      <c r="H174" s="110">
        <v>52</v>
      </c>
      <c r="I174" s="110">
        <v>52</v>
      </c>
      <c r="J174" s="110" t="s">
        <v>142</v>
      </c>
    </row>
    <row r="175" spans="1:10" x14ac:dyDescent="0.3">
      <c r="A175" s="110" t="str">
        <f t="shared" si="11"/>
        <v>B000</v>
      </c>
      <c r="B175" s="110" t="str">
        <f t="shared" si="12"/>
        <v>000</v>
      </c>
      <c r="C175" s="110" t="str">
        <f t="shared" si="14"/>
        <v>22</v>
      </c>
      <c r="D175" s="110" t="str">
        <f>"7051"</f>
        <v>7051</v>
      </c>
      <c r="E175" s="110" t="s">
        <v>188</v>
      </c>
      <c r="F175" s="110">
        <v>0</v>
      </c>
      <c r="G175" s="110">
        <v>0</v>
      </c>
      <c r="H175" s="110">
        <v>0</v>
      </c>
      <c r="I175" s="110">
        <v>0</v>
      </c>
      <c r="J175" s="110" t="s">
        <v>189</v>
      </c>
    </row>
    <row r="176" spans="1:10" x14ac:dyDescent="0.3">
      <c r="A176" s="110" t="str">
        <f t="shared" si="11"/>
        <v>B000</v>
      </c>
      <c r="B176" s="110" t="str">
        <f t="shared" si="12"/>
        <v>000</v>
      </c>
      <c r="C176" s="110" t="str">
        <f t="shared" si="14"/>
        <v>22</v>
      </c>
      <c r="D176" s="110" t="str">
        <f>"7052"</f>
        <v>7052</v>
      </c>
      <c r="E176" s="110" t="s">
        <v>219</v>
      </c>
      <c r="F176" s="110">
        <v>449</v>
      </c>
      <c r="G176" s="110">
        <v>449</v>
      </c>
      <c r="H176" s="110">
        <v>449</v>
      </c>
      <c r="I176" s="110">
        <v>449</v>
      </c>
      <c r="J176" s="110" t="s">
        <v>220</v>
      </c>
    </row>
    <row r="177" spans="1:10" x14ac:dyDescent="0.3">
      <c r="A177" s="110" t="str">
        <f t="shared" si="11"/>
        <v>B000</v>
      </c>
      <c r="B177" s="110" t="str">
        <f t="shared" si="12"/>
        <v>000</v>
      </c>
      <c r="C177" s="110" t="str">
        <f t="shared" si="14"/>
        <v>22</v>
      </c>
      <c r="D177" s="110" t="str">
        <f>"7059"</f>
        <v>7059</v>
      </c>
      <c r="E177" s="110" t="s">
        <v>221</v>
      </c>
      <c r="F177" s="28">
        <v>1993</v>
      </c>
      <c r="G177" s="28">
        <v>1993</v>
      </c>
      <c r="H177" s="28">
        <v>1993</v>
      </c>
      <c r="I177" s="28">
        <v>1993</v>
      </c>
      <c r="J177" s="110" t="s">
        <v>220</v>
      </c>
    </row>
    <row r="178" spans="1:10" x14ac:dyDescent="0.3">
      <c r="A178" s="110" t="str">
        <f t="shared" si="11"/>
        <v>B000</v>
      </c>
      <c r="B178" s="110" t="str">
        <f t="shared" si="12"/>
        <v>000</v>
      </c>
      <c r="C178" s="110" t="str">
        <f t="shared" si="14"/>
        <v>22</v>
      </c>
      <c r="D178" s="110" t="str">
        <f>"705A"</f>
        <v>705A</v>
      </c>
      <c r="E178" s="110" t="s">
        <v>190</v>
      </c>
      <c r="F178" s="110">
        <v>54</v>
      </c>
      <c r="G178" s="110">
        <v>54</v>
      </c>
      <c r="H178" s="110">
        <v>54</v>
      </c>
      <c r="I178" s="110">
        <v>54</v>
      </c>
      <c r="J178" s="110" t="s">
        <v>175</v>
      </c>
    </row>
    <row r="179" spans="1:10" x14ac:dyDescent="0.3">
      <c r="A179" s="110" t="str">
        <f t="shared" si="11"/>
        <v>B000</v>
      </c>
      <c r="B179" s="110" t="str">
        <f t="shared" si="12"/>
        <v>000</v>
      </c>
      <c r="C179" s="110" t="str">
        <f t="shared" si="14"/>
        <v>22</v>
      </c>
      <c r="D179" s="110" t="str">
        <f>"7064"</f>
        <v>7064</v>
      </c>
      <c r="E179" s="110" t="s">
        <v>191</v>
      </c>
      <c r="F179" s="28">
        <v>2850</v>
      </c>
      <c r="G179" s="28">
        <v>2850</v>
      </c>
      <c r="H179" s="28">
        <v>2850</v>
      </c>
      <c r="I179" s="28">
        <v>2850</v>
      </c>
      <c r="J179" s="110" t="s">
        <v>192</v>
      </c>
    </row>
    <row r="180" spans="1:10" x14ac:dyDescent="0.3">
      <c r="A180" s="110" t="str">
        <f t="shared" si="11"/>
        <v>B000</v>
      </c>
      <c r="B180" s="110" t="str">
        <f t="shared" si="12"/>
        <v>000</v>
      </c>
      <c r="C180" s="110" t="str">
        <f t="shared" si="14"/>
        <v>22</v>
      </c>
      <c r="D180" s="110" t="str">
        <f>"7066"</f>
        <v>7066</v>
      </c>
      <c r="E180" s="110" t="s">
        <v>222</v>
      </c>
      <c r="F180" s="28">
        <v>24382</v>
      </c>
      <c r="G180" s="28">
        <v>24382</v>
      </c>
      <c r="H180" s="28">
        <v>24382</v>
      </c>
      <c r="I180" s="28">
        <v>24382</v>
      </c>
      <c r="J180" s="110" t="s">
        <v>192</v>
      </c>
    </row>
    <row r="181" spans="1:10" x14ac:dyDescent="0.3">
      <c r="A181" s="110" t="str">
        <f t="shared" si="11"/>
        <v>B000</v>
      </c>
      <c r="B181" s="110" t="str">
        <f t="shared" si="12"/>
        <v>000</v>
      </c>
      <c r="C181" s="110" t="str">
        <f t="shared" si="14"/>
        <v>22</v>
      </c>
      <c r="D181" s="110" t="str">
        <f>"7071"</f>
        <v>7071</v>
      </c>
      <c r="E181" s="110" t="s">
        <v>193</v>
      </c>
      <c r="F181" s="28">
        <v>250000</v>
      </c>
      <c r="G181" s="28">
        <v>250000</v>
      </c>
      <c r="H181" s="28">
        <v>250000</v>
      </c>
      <c r="I181" s="28">
        <v>250000</v>
      </c>
      <c r="J181" s="110" t="s">
        <v>192</v>
      </c>
    </row>
    <row r="182" spans="1:10" x14ac:dyDescent="0.3">
      <c r="A182" s="110" t="str">
        <f t="shared" si="11"/>
        <v>B000</v>
      </c>
      <c r="B182" s="110" t="str">
        <f t="shared" si="12"/>
        <v>000</v>
      </c>
      <c r="C182" s="110" t="str">
        <f t="shared" si="14"/>
        <v>22</v>
      </c>
      <c r="D182" s="110" t="str">
        <f>"7073"</f>
        <v>7073</v>
      </c>
      <c r="E182" s="110" t="s">
        <v>194</v>
      </c>
      <c r="F182" s="28">
        <v>10636</v>
      </c>
      <c r="G182" s="28">
        <v>10636</v>
      </c>
      <c r="H182" s="28">
        <v>10636</v>
      </c>
      <c r="I182" s="28">
        <v>10636</v>
      </c>
      <c r="J182" s="110" t="s">
        <v>192</v>
      </c>
    </row>
    <row r="183" spans="1:10" x14ac:dyDescent="0.3">
      <c r="A183" s="110" t="str">
        <f t="shared" si="11"/>
        <v>B000</v>
      </c>
      <c r="B183" s="110" t="str">
        <f t="shared" si="12"/>
        <v>000</v>
      </c>
      <c r="C183" s="110" t="str">
        <f t="shared" si="14"/>
        <v>22</v>
      </c>
      <c r="D183" s="110" t="str">
        <f>"7074"</f>
        <v>7074</v>
      </c>
      <c r="E183" s="110" t="s">
        <v>211</v>
      </c>
      <c r="F183" s="110">
        <v>0</v>
      </c>
      <c r="G183" s="110">
        <v>0</v>
      </c>
      <c r="H183" s="110">
        <v>0</v>
      </c>
      <c r="I183" s="110">
        <v>0</v>
      </c>
      <c r="J183" s="110" t="s">
        <v>192</v>
      </c>
    </row>
    <row r="184" spans="1:10" x14ac:dyDescent="0.3">
      <c r="A184" s="110" t="str">
        <f t="shared" si="11"/>
        <v>B000</v>
      </c>
      <c r="B184" s="110" t="str">
        <f t="shared" si="12"/>
        <v>000</v>
      </c>
      <c r="C184" s="110" t="str">
        <f t="shared" si="14"/>
        <v>22</v>
      </c>
      <c r="D184" s="110" t="str">
        <f>"7110"</f>
        <v>7110</v>
      </c>
      <c r="E184" s="110" t="s">
        <v>174</v>
      </c>
      <c r="F184" s="28">
        <v>34759</v>
      </c>
      <c r="G184" s="28">
        <v>35804</v>
      </c>
      <c r="H184" s="28">
        <v>34759</v>
      </c>
      <c r="I184" s="28">
        <v>34759</v>
      </c>
      <c r="J184" s="110" t="s">
        <v>175</v>
      </c>
    </row>
    <row r="185" spans="1:10" x14ac:dyDescent="0.3">
      <c r="A185" s="110" t="str">
        <f t="shared" si="11"/>
        <v>B000</v>
      </c>
      <c r="B185" s="110" t="str">
        <f t="shared" si="12"/>
        <v>000</v>
      </c>
      <c r="C185" s="110" t="str">
        <f t="shared" si="14"/>
        <v>22</v>
      </c>
      <c r="D185" s="110" t="str">
        <f>"7111"</f>
        <v>7111</v>
      </c>
      <c r="E185" s="110" t="s">
        <v>176</v>
      </c>
      <c r="F185" s="28">
        <v>18122</v>
      </c>
      <c r="G185" s="28">
        <v>18460</v>
      </c>
      <c r="H185" s="28">
        <v>18122</v>
      </c>
      <c r="I185" s="28">
        <v>18122</v>
      </c>
      <c r="J185" s="110" t="s">
        <v>175</v>
      </c>
    </row>
    <row r="186" spans="1:10" x14ac:dyDescent="0.3">
      <c r="A186" s="110" t="str">
        <f t="shared" si="11"/>
        <v>B000</v>
      </c>
      <c r="B186" s="110" t="str">
        <f t="shared" si="12"/>
        <v>000</v>
      </c>
      <c r="C186" s="110" t="str">
        <f t="shared" si="14"/>
        <v>22</v>
      </c>
      <c r="D186" s="110" t="str">
        <f>"7138"</f>
        <v>7138</v>
      </c>
      <c r="E186" s="110" t="s">
        <v>177</v>
      </c>
      <c r="F186" s="28">
        <v>1726</v>
      </c>
      <c r="G186" s="28">
        <v>1726</v>
      </c>
      <c r="H186" s="28">
        <v>1726</v>
      </c>
      <c r="I186" s="28">
        <v>1726</v>
      </c>
      <c r="J186" s="110" t="s">
        <v>142</v>
      </c>
    </row>
    <row r="187" spans="1:10" x14ac:dyDescent="0.3">
      <c r="A187" s="110" t="str">
        <f t="shared" si="11"/>
        <v>B000</v>
      </c>
      <c r="B187" s="110" t="str">
        <f t="shared" si="12"/>
        <v>000</v>
      </c>
      <c r="C187" s="110" t="str">
        <f t="shared" si="14"/>
        <v>22</v>
      </c>
      <c r="D187" s="110" t="str">
        <f>"7151"</f>
        <v>7151</v>
      </c>
      <c r="E187" s="110" t="s">
        <v>223</v>
      </c>
      <c r="F187" s="110">
        <v>0</v>
      </c>
      <c r="G187" s="110">
        <v>0</v>
      </c>
      <c r="H187" s="110">
        <v>0</v>
      </c>
      <c r="I187" s="110">
        <v>0</v>
      </c>
      <c r="J187" s="110" t="s">
        <v>142</v>
      </c>
    </row>
    <row r="188" spans="1:10" x14ac:dyDescent="0.3">
      <c r="A188" s="110" t="str">
        <f t="shared" si="11"/>
        <v>B000</v>
      </c>
      <c r="B188" s="110" t="str">
        <f t="shared" si="12"/>
        <v>000</v>
      </c>
      <c r="C188" s="110" t="str">
        <f t="shared" si="14"/>
        <v>22</v>
      </c>
      <c r="D188" s="110" t="str">
        <f>"7153"</f>
        <v>7153</v>
      </c>
      <c r="E188" s="110" t="s">
        <v>458</v>
      </c>
      <c r="F188" s="110">
        <v>100</v>
      </c>
      <c r="G188" s="110">
        <v>100</v>
      </c>
      <c r="H188" s="110">
        <v>100</v>
      </c>
      <c r="I188" s="110">
        <v>100</v>
      </c>
      <c r="J188" s="110" t="s">
        <v>142</v>
      </c>
    </row>
    <row r="189" spans="1:10" x14ac:dyDescent="0.3">
      <c r="A189" s="110" t="str">
        <f t="shared" si="11"/>
        <v>B000</v>
      </c>
      <c r="B189" s="110" t="str">
        <f t="shared" si="12"/>
        <v>000</v>
      </c>
      <c r="C189" s="110" t="str">
        <f t="shared" si="14"/>
        <v>22</v>
      </c>
      <c r="D189" s="110" t="str">
        <f>"7156"</f>
        <v>7156</v>
      </c>
      <c r="E189" s="110" t="s">
        <v>459</v>
      </c>
      <c r="F189" s="110">
        <v>559</v>
      </c>
      <c r="G189" s="110">
        <v>559</v>
      </c>
      <c r="H189" s="110">
        <v>559</v>
      </c>
      <c r="I189" s="110">
        <v>559</v>
      </c>
      <c r="J189" s="110" t="s">
        <v>142</v>
      </c>
    </row>
    <row r="190" spans="1:10" x14ac:dyDescent="0.3">
      <c r="A190" s="110" t="str">
        <f t="shared" si="11"/>
        <v>B000</v>
      </c>
      <c r="B190" s="110" t="str">
        <f t="shared" si="12"/>
        <v>000</v>
      </c>
      <c r="C190" s="110" t="str">
        <f t="shared" si="14"/>
        <v>22</v>
      </c>
      <c r="D190" s="110" t="str">
        <f>"7176"</f>
        <v>7176</v>
      </c>
      <c r="E190" s="110" t="s">
        <v>460</v>
      </c>
      <c r="F190" s="110">
        <v>954</v>
      </c>
      <c r="G190" s="110">
        <v>954</v>
      </c>
      <c r="H190" s="110">
        <v>954</v>
      </c>
      <c r="I190" s="110">
        <v>954</v>
      </c>
      <c r="J190" s="110" t="s">
        <v>142</v>
      </c>
    </row>
    <row r="191" spans="1:10" x14ac:dyDescent="0.3">
      <c r="A191" s="110" t="str">
        <f t="shared" si="11"/>
        <v>B000</v>
      </c>
      <c r="B191" s="110" t="str">
        <f t="shared" si="12"/>
        <v>000</v>
      </c>
      <c r="C191" s="110" t="str">
        <f t="shared" si="14"/>
        <v>22</v>
      </c>
      <c r="D191" s="110" t="str">
        <f>"7180"</f>
        <v>7180</v>
      </c>
      <c r="E191" s="110" t="s">
        <v>224</v>
      </c>
      <c r="F191" s="110">
        <v>0</v>
      </c>
      <c r="G191" s="110">
        <v>0</v>
      </c>
      <c r="H191" s="110">
        <v>0</v>
      </c>
      <c r="I191" s="110">
        <v>0</v>
      </c>
      <c r="J191" s="110" t="s">
        <v>142</v>
      </c>
    </row>
    <row r="192" spans="1:10" x14ac:dyDescent="0.3">
      <c r="A192" s="110" t="str">
        <f t="shared" si="11"/>
        <v>B000</v>
      </c>
      <c r="B192" s="110" t="str">
        <f t="shared" si="12"/>
        <v>000</v>
      </c>
      <c r="C192" s="110" t="str">
        <f t="shared" si="14"/>
        <v>22</v>
      </c>
      <c r="D192" s="110" t="str">
        <f>"7185"</f>
        <v>7185</v>
      </c>
      <c r="E192" s="110" t="s">
        <v>225</v>
      </c>
      <c r="F192" s="28">
        <v>1642</v>
      </c>
      <c r="G192" s="28">
        <v>1642</v>
      </c>
      <c r="H192" s="28">
        <v>1642</v>
      </c>
      <c r="I192" s="28">
        <v>1642</v>
      </c>
      <c r="J192" s="110" t="s">
        <v>142</v>
      </c>
    </row>
    <row r="193" spans="1:10" x14ac:dyDescent="0.3">
      <c r="A193" s="110" t="str">
        <f t="shared" si="11"/>
        <v>B000</v>
      </c>
      <c r="B193" s="110" t="str">
        <f t="shared" si="12"/>
        <v>000</v>
      </c>
      <c r="C193" s="110" t="str">
        <f t="shared" si="14"/>
        <v>22</v>
      </c>
      <c r="D193" s="110" t="str">
        <f>"7190"</f>
        <v>7190</v>
      </c>
      <c r="E193" s="110" t="s">
        <v>461</v>
      </c>
      <c r="F193" s="110">
        <v>0</v>
      </c>
      <c r="G193" s="110">
        <v>0</v>
      </c>
      <c r="H193" s="110">
        <v>0</v>
      </c>
      <c r="I193" s="110">
        <v>0</v>
      </c>
      <c r="J193" s="110" t="s">
        <v>142</v>
      </c>
    </row>
    <row r="194" spans="1:10" x14ac:dyDescent="0.3">
      <c r="A194" s="110" t="str">
        <f t="shared" si="11"/>
        <v>B000</v>
      </c>
      <c r="B194" s="110" t="str">
        <f t="shared" si="12"/>
        <v>000</v>
      </c>
      <c r="C194" s="110" t="str">
        <f t="shared" si="14"/>
        <v>22</v>
      </c>
      <c r="D194" s="110" t="str">
        <f>"7200"</f>
        <v>7200</v>
      </c>
      <c r="E194" s="110" t="s">
        <v>239</v>
      </c>
      <c r="F194" s="110">
        <v>0</v>
      </c>
      <c r="G194" s="110">
        <v>0</v>
      </c>
      <c r="H194" s="110">
        <v>0</v>
      </c>
      <c r="I194" s="110">
        <v>0</v>
      </c>
      <c r="J194" s="110" t="s">
        <v>142</v>
      </c>
    </row>
    <row r="195" spans="1:10" x14ac:dyDescent="0.3">
      <c r="A195" s="110" t="str">
        <f t="shared" si="11"/>
        <v>B000</v>
      </c>
      <c r="B195" s="110" t="str">
        <f t="shared" si="12"/>
        <v>000</v>
      </c>
      <c r="C195" s="110" t="str">
        <f t="shared" si="14"/>
        <v>22</v>
      </c>
      <c r="D195" s="110" t="str">
        <f>"7255"</f>
        <v>7255</v>
      </c>
      <c r="E195" s="110" t="s">
        <v>178</v>
      </c>
      <c r="F195" s="110">
        <v>962</v>
      </c>
      <c r="G195" s="28">
        <v>1126</v>
      </c>
      <c r="H195" s="110">
        <v>962</v>
      </c>
      <c r="I195" s="110">
        <v>962</v>
      </c>
      <c r="J195" s="110" t="s">
        <v>175</v>
      </c>
    </row>
    <row r="196" spans="1:10" x14ac:dyDescent="0.3">
      <c r="A196" s="110" t="str">
        <f t="shared" si="11"/>
        <v>B000</v>
      </c>
      <c r="B196" s="110" t="str">
        <f t="shared" si="12"/>
        <v>000</v>
      </c>
      <c r="C196" s="110" t="str">
        <f t="shared" si="14"/>
        <v>22</v>
      </c>
      <c r="D196" s="110" t="str">
        <f>"7280"</f>
        <v>7280</v>
      </c>
      <c r="E196" s="110" t="s">
        <v>8</v>
      </c>
      <c r="F196" s="110">
        <v>0</v>
      </c>
      <c r="G196" s="110">
        <v>0</v>
      </c>
      <c r="H196" s="110">
        <v>0</v>
      </c>
      <c r="I196" s="110">
        <v>0</v>
      </c>
      <c r="J196" s="110" t="s">
        <v>142</v>
      </c>
    </row>
    <row r="197" spans="1:10" x14ac:dyDescent="0.3">
      <c r="A197" s="110" t="str">
        <f t="shared" si="11"/>
        <v>B000</v>
      </c>
      <c r="B197" s="110" t="str">
        <f t="shared" si="12"/>
        <v>000</v>
      </c>
      <c r="C197" s="110" t="str">
        <f t="shared" si="14"/>
        <v>22</v>
      </c>
      <c r="D197" s="110" t="str">
        <f>"7285"</f>
        <v>7285</v>
      </c>
      <c r="E197" s="110" t="s">
        <v>7</v>
      </c>
      <c r="F197" s="110">
        <v>203</v>
      </c>
      <c r="G197" s="110">
        <v>203</v>
      </c>
      <c r="H197" s="110">
        <v>203</v>
      </c>
      <c r="I197" s="110">
        <v>203</v>
      </c>
      <c r="J197" s="110" t="s">
        <v>142</v>
      </c>
    </row>
    <row r="198" spans="1:10" x14ac:dyDescent="0.3">
      <c r="A198" s="110" t="str">
        <f t="shared" si="11"/>
        <v>B000</v>
      </c>
      <c r="B198" s="110" t="str">
        <f t="shared" si="12"/>
        <v>000</v>
      </c>
      <c r="C198" s="110" t="str">
        <f t="shared" si="14"/>
        <v>22</v>
      </c>
      <c r="D198" s="110" t="str">
        <f>"7289"</f>
        <v>7289</v>
      </c>
      <c r="E198" s="110" t="s">
        <v>452</v>
      </c>
      <c r="F198" s="28">
        <v>2780</v>
      </c>
      <c r="G198" s="28">
        <v>2519</v>
      </c>
      <c r="H198" s="28">
        <v>2780</v>
      </c>
      <c r="I198" s="28">
        <v>2780</v>
      </c>
      <c r="J198" s="110" t="s">
        <v>179</v>
      </c>
    </row>
    <row r="199" spans="1:10" x14ac:dyDescent="0.3">
      <c r="A199" s="110" t="str">
        <f t="shared" si="11"/>
        <v>B000</v>
      </c>
      <c r="B199" s="110" t="str">
        <f t="shared" si="12"/>
        <v>000</v>
      </c>
      <c r="C199" s="110" t="str">
        <f t="shared" si="14"/>
        <v>22</v>
      </c>
      <c r="D199" s="110" t="str">
        <f>"7290"</f>
        <v>7290</v>
      </c>
      <c r="E199" s="110" t="s">
        <v>0</v>
      </c>
      <c r="F199" s="110">
        <v>0</v>
      </c>
      <c r="G199" s="110">
        <v>0</v>
      </c>
      <c r="H199" s="110">
        <v>0</v>
      </c>
      <c r="I199" s="110">
        <v>0</v>
      </c>
      <c r="J199" s="110" t="s">
        <v>142</v>
      </c>
    </row>
    <row r="200" spans="1:10" x14ac:dyDescent="0.3">
      <c r="A200" s="110" t="str">
        <f t="shared" si="11"/>
        <v>B000</v>
      </c>
      <c r="B200" s="110" t="str">
        <f t="shared" si="12"/>
        <v>000</v>
      </c>
      <c r="C200" s="110" t="str">
        <f t="shared" si="14"/>
        <v>22</v>
      </c>
      <c r="D200" s="110" t="str">
        <f>"7291"</f>
        <v>7291</v>
      </c>
      <c r="E200" s="110" t="s">
        <v>195</v>
      </c>
      <c r="F200" s="28">
        <v>7274</v>
      </c>
      <c r="G200" s="28">
        <v>7274</v>
      </c>
      <c r="H200" s="28">
        <v>7274</v>
      </c>
      <c r="I200" s="28">
        <v>7274</v>
      </c>
      <c r="J200" s="110" t="s">
        <v>142</v>
      </c>
    </row>
    <row r="201" spans="1:10" x14ac:dyDescent="0.3">
      <c r="A201" s="110" t="str">
        <f t="shared" si="11"/>
        <v>B000</v>
      </c>
      <c r="B201" s="110" t="str">
        <f t="shared" si="12"/>
        <v>000</v>
      </c>
      <c r="C201" s="110" t="str">
        <f t="shared" si="14"/>
        <v>22</v>
      </c>
      <c r="D201" s="110" t="str">
        <f>"7292"</f>
        <v>7292</v>
      </c>
      <c r="E201" s="110" t="s">
        <v>449</v>
      </c>
      <c r="F201" s="110">
        <v>0</v>
      </c>
      <c r="G201" s="110">
        <v>0</v>
      </c>
      <c r="H201" s="110">
        <v>0</v>
      </c>
      <c r="I201" s="110">
        <v>0</v>
      </c>
      <c r="J201" s="110" t="s">
        <v>179</v>
      </c>
    </row>
    <row r="202" spans="1:10" x14ac:dyDescent="0.3">
      <c r="A202" s="110" t="str">
        <f t="shared" si="11"/>
        <v>B000</v>
      </c>
      <c r="B202" s="110" t="str">
        <f t="shared" si="12"/>
        <v>000</v>
      </c>
      <c r="C202" s="110" t="str">
        <f t="shared" si="14"/>
        <v>22</v>
      </c>
      <c r="D202" s="110" t="str">
        <f>"7294"</f>
        <v>7294</v>
      </c>
      <c r="E202" s="110" t="s">
        <v>6</v>
      </c>
      <c r="F202" s="110">
        <v>793</v>
      </c>
      <c r="G202" s="110">
        <v>793</v>
      </c>
      <c r="H202" s="110">
        <v>793</v>
      </c>
      <c r="I202" s="110">
        <v>793</v>
      </c>
      <c r="J202" s="110" t="s">
        <v>142</v>
      </c>
    </row>
    <row r="203" spans="1:10" x14ac:dyDescent="0.3">
      <c r="A203" s="110" t="str">
        <f t="shared" si="11"/>
        <v>B000</v>
      </c>
      <c r="B203" s="110" t="str">
        <f t="shared" si="12"/>
        <v>000</v>
      </c>
      <c r="C203" s="110" t="str">
        <f t="shared" si="14"/>
        <v>22</v>
      </c>
      <c r="D203" s="110" t="str">
        <f>"7295"</f>
        <v>7295</v>
      </c>
      <c r="E203" s="110" t="s">
        <v>450</v>
      </c>
      <c r="F203" s="110">
        <v>0</v>
      </c>
      <c r="G203" s="110">
        <v>0</v>
      </c>
      <c r="H203" s="110">
        <v>0</v>
      </c>
      <c r="I203" s="110">
        <v>0</v>
      </c>
      <c r="J203" s="110" t="s">
        <v>179</v>
      </c>
    </row>
    <row r="204" spans="1:10" x14ac:dyDescent="0.3">
      <c r="A204" s="110" t="str">
        <f t="shared" si="11"/>
        <v>B000</v>
      </c>
      <c r="B204" s="110" t="str">
        <f t="shared" si="12"/>
        <v>000</v>
      </c>
      <c r="C204" s="110" t="str">
        <f t="shared" si="14"/>
        <v>22</v>
      </c>
      <c r="D204" s="110" t="str">
        <f>"7296"</f>
        <v>7296</v>
      </c>
      <c r="E204" s="110" t="s">
        <v>196</v>
      </c>
      <c r="F204" s="110">
        <v>230</v>
      </c>
      <c r="G204" s="110">
        <v>230</v>
      </c>
      <c r="H204" s="110">
        <v>230</v>
      </c>
      <c r="I204" s="110">
        <v>230</v>
      </c>
      <c r="J204" s="110" t="s">
        <v>142</v>
      </c>
    </row>
    <row r="205" spans="1:10" x14ac:dyDescent="0.3">
      <c r="A205" s="110" t="str">
        <f t="shared" si="11"/>
        <v>B000</v>
      </c>
      <c r="B205" s="110" t="str">
        <f t="shared" si="12"/>
        <v>000</v>
      </c>
      <c r="C205" s="110" t="str">
        <f t="shared" si="14"/>
        <v>22</v>
      </c>
      <c r="D205" s="110" t="str">
        <f>"7299"</f>
        <v>7299</v>
      </c>
      <c r="E205" s="110" t="s">
        <v>226</v>
      </c>
      <c r="F205" s="110">
        <v>0</v>
      </c>
      <c r="G205" s="110">
        <v>0</v>
      </c>
      <c r="H205" s="110">
        <v>0</v>
      </c>
      <c r="I205" s="110">
        <v>0</v>
      </c>
      <c r="J205" s="110" t="s">
        <v>142</v>
      </c>
    </row>
    <row r="206" spans="1:10" x14ac:dyDescent="0.3">
      <c r="A206" s="110" t="str">
        <f t="shared" ref="A206:A269" si="15">"B000"</f>
        <v>B000</v>
      </c>
      <c r="B206" s="110" t="str">
        <f t="shared" ref="B206:B269" si="16">"000"</f>
        <v>000</v>
      </c>
      <c r="C206" s="110" t="str">
        <f t="shared" si="14"/>
        <v>22</v>
      </c>
      <c r="D206" s="110" t="str">
        <f>"7301"</f>
        <v>7301</v>
      </c>
      <c r="E206" s="110" t="s">
        <v>197</v>
      </c>
      <c r="F206" s="110">
        <v>300</v>
      </c>
      <c r="G206" s="110">
        <v>300</v>
      </c>
      <c r="H206" s="110">
        <v>300</v>
      </c>
      <c r="I206" s="110">
        <v>300</v>
      </c>
      <c r="J206" s="110" t="s">
        <v>192</v>
      </c>
    </row>
    <row r="207" spans="1:10" x14ac:dyDescent="0.3">
      <c r="A207" s="110" t="str">
        <f t="shared" si="15"/>
        <v>B000</v>
      </c>
      <c r="B207" s="110" t="str">
        <f t="shared" si="16"/>
        <v>000</v>
      </c>
      <c r="C207" s="110" t="str">
        <f t="shared" si="14"/>
        <v>22</v>
      </c>
      <c r="D207" s="110" t="str">
        <f>"7302"</f>
        <v>7302</v>
      </c>
      <c r="E207" s="110" t="s">
        <v>206</v>
      </c>
      <c r="F207" s="28">
        <v>2600</v>
      </c>
      <c r="G207" s="28">
        <v>2600</v>
      </c>
      <c r="H207" s="28">
        <v>2600</v>
      </c>
      <c r="I207" s="28">
        <v>2600</v>
      </c>
      <c r="J207" s="110" t="s">
        <v>192</v>
      </c>
    </row>
    <row r="208" spans="1:10" x14ac:dyDescent="0.3">
      <c r="A208" s="110" t="str">
        <f t="shared" si="15"/>
        <v>B000</v>
      </c>
      <c r="B208" s="110" t="str">
        <f t="shared" si="16"/>
        <v>000</v>
      </c>
      <c r="C208" s="110" t="str">
        <f t="shared" si="14"/>
        <v>22</v>
      </c>
      <c r="D208" s="110" t="str">
        <f>"7340"</f>
        <v>7340</v>
      </c>
      <c r="E208" s="110" t="s">
        <v>4</v>
      </c>
      <c r="F208" s="110">
        <v>0</v>
      </c>
      <c r="G208" s="110">
        <v>0</v>
      </c>
      <c r="H208" s="110">
        <v>0</v>
      </c>
      <c r="I208" s="110">
        <v>0</v>
      </c>
      <c r="J208" s="110" t="s">
        <v>142</v>
      </c>
    </row>
    <row r="209" spans="1:10" x14ac:dyDescent="0.3">
      <c r="A209" s="110" t="str">
        <f t="shared" si="15"/>
        <v>B000</v>
      </c>
      <c r="B209" s="110" t="str">
        <f t="shared" si="16"/>
        <v>000</v>
      </c>
      <c r="C209" s="110" t="str">
        <f t="shared" si="14"/>
        <v>22</v>
      </c>
      <c r="D209" s="110" t="str">
        <f>"7370"</f>
        <v>7370</v>
      </c>
      <c r="E209" s="110" t="s">
        <v>198</v>
      </c>
      <c r="F209" s="110">
        <v>119</v>
      </c>
      <c r="G209" s="110">
        <v>119</v>
      </c>
      <c r="H209" s="110">
        <v>119</v>
      </c>
      <c r="I209" s="110">
        <v>119</v>
      </c>
      <c r="J209" s="110" t="s">
        <v>192</v>
      </c>
    </row>
    <row r="210" spans="1:10" x14ac:dyDescent="0.3">
      <c r="A210" s="110" t="str">
        <f t="shared" si="15"/>
        <v>B000</v>
      </c>
      <c r="B210" s="110" t="str">
        <f t="shared" si="16"/>
        <v>000</v>
      </c>
      <c r="C210" s="110" t="str">
        <f t="shared" si="14"/>
        <v>22</v>
      </c>
      <c r="D210" s="110" t="str">
        <f>"7388"</f>
        <v>7388</v>
      </c>
      <c r="E210" s="110" t="s">
        <v>244</v>
      </c>
      <c r="F210" s="110">
        <v>0</v>
      </c>
      <c r="G210" s="110">
        <v>0</v>
      </c>
      <c r="H210" s="110">
        <v>0</v>
      </c>
      <c r="I210" s="110">
        <v>0</v>
      </c>
      <c r="J210" s="110" t="s">
        <v>245</v>
      </c>
    </row>
    <row r="211" spans="1:10" x14ac:dyDescent="0.3">
      <c r="A211" s="110" t="str">
        <f t="shared" si="15"/>
        <v>B000</v>
      </c>
      <c r="B211" s="110" t="str">
        <f t="shared" si="16"/>
        <v>000</v>
      </c>
      <c r="C211" s="110" t="str">
        <f t="shared" si="14"/>
        <v>22</v>
      </c>
      <c r="D211" s="110" t="str">
        <f>"7398"</f>
        <v>7398</v>
      </c>
      <c r="E211" s="110" t="s">
        <v>199</v>
      </c>
      <c r="F211" s="28">
        <v>129707</v>
      </c>
      <c r="G211" s="28">
        <v>146471</v>
      </c>
      <c r="H211" s="28">
        <v>129707</v>
      </c>
      <c r="I211" s="28">
        <v>129707</v>
      </c>
      <c r="J211" s="110" t="s">
        <v>200</v>
      </c>
    </row>
    <row r="212" spans="1:10" x14ac:dyDescent="0.3">
      <c r="A212" s="110" t="str">
        <f t="shared" si="15"/>
        <v>B000</v>
      </c>
      <c r="B212" s="110" t="str">
        <f t="shared" si="16"/>
        <v>000</v>
      </c>
      <c r="C212" s="110" t="str">
        <f t="shared" si="14"/>
        <v>22</v>
      </c>
      <c r="D212" s="110" t="str">
        <f>"7430"</f>
        <v>7430</v>
      </c>
      <c r="E212" s="110" t="s">
        <v>462</v>
      </c>
      <c r="F212" s="28">
        <v>3178</v>
      </c>
      <c r="G212" s="28">
        <v>3178</v>
      </c>
      <c r="H212" s="28">
        <v>3178</v>
      </c>
      <c r="I212" s="28">
        <v>3178</v>
      </c>
      <c r="J212" s="110" t="s">
        <v>192</v>
      </c>
    </row>
    <row r="213" spans="1:10" x14ac:dyDescent="0.3">
      <c r="A213" s="110" t="str">
        <f t="shared" si="15"/>
        <v>B000</v>
      </c>
      <c r="B213" s="110" t="str">
        <f t="shared" si="16"/>
        <v>000</v>
      </c>
      <c r="C213" s="110" t="str">
        <f t="shared" si="14"/>
        <v>22</v>
      </c>
      <c r="D213" s="110" t="str">
        <f>"7460"</f>
        <v>7460</v>
      </c>
      <c r="E213" s="110" t="s">
        <v>228</v>
      </c>
      <c r="F213" s="28">
        <v>4994</v>
      </c>
      <c r="G213" s="28">
        <v>4994</v>
      </c>
      <c r="H213" s="28">
        <v>4994</v>
      </c>
      <c r="I213" s="28">
        <v>4994</v>
      </c>
      <c r="J213" s="110" t="s">
        <v>203</v>
      </c>
    </row>
    <row r="214" spans="1:10" x14ac:dyDescent="0.3">
      <c r="A214" s="110" t="str">
        <f t="shared" si="15"/>
        <v>B000</v>
      </c>
      <c r="B214" s="110" t="str">
        <f t="shared" si="16"/>
        <v>000</v>
      </c>
      <c r="C214" s="110" t="str">
        <f t="shared" si="14"/>
        <v>22</v>
      </c>
      <c r="D214" s="110" t="str">
        <f>"7465"</f>
        <v>7465</v>
      </c>
      <c r="E214" s="110" t="s">
        <v>463</v>
      </c>
      <c r="F214" s="110">
        <v>0</v>
      </c>
      <c r="G214" s="110">
        <v>0</v>
      </c>
      <c r="H214" s="110">
        <v>0</v>
      </c>
      <c r="I214" s="110">
        <v>0</v>
      </c>
      <c r="J214" s="110" t="s">
        <v>203</v>
      </c>
    </row>
    <row r="215" spans="1:10" x14ac:dyDescent="0.3">
      <c r="A215" s="110" t="str">
        <f t="shared" si="15"/>
        <v>B000</v>
      </c>
      <c r="B215" s="110" t="str">
        <f t="shared" si="16"/>
        <v>000</v>
      </c>
      <c r="C215" s="110" t="str">
        <f t="shared" si="14"/>
        <v>22</v>
      </c>
      <c r="D215" s="110" t="str">
        <f>"7528"</f>
        <v>7528</v>
      </c>
      <c r="E215" s="110" t="s">
        <v>464</v>
      </c>
      <c r="F215" s="110">
        <v>0</v>
      </c>
      <c r="G215" s="110">
        <v>0</v>
      </c>
      <c r="H215" s="110">
        <v>0</v>
      </c>
      <c r="I215" s="110">
        <v>0</v>
      </c>
      <c r="J215" s="110" t="s">
        <v>179</v>
      </c>
    </row>
    <row r="216" spans="1:10" x14ac:dyDescent="0.3">
      <c r="A216" s="110" t="str">
        <f t="shared" si="15"/>
        <v>B000</v>
      </c>
      <c r="B216" s="110" t="str">
        <f t="shared" si="16"/>
        <v>000</v>
      </c>
      <c r="C216" s="110" t="str">
        <f t="shared" si="14"/>
        <v>22</v>
      </c>
      <c r="D216" s="110" t="str">
        <f>"7531"</f>
        <v>7531</v>
      </c>
      <c r="E216" s="110" t="s">
        <v>465</v>
      </c>
      <c r="F216" s="110">
        <v>29</v>
      </c>
      <c r="G216" s="110">
        <v>29</v>
      </c>
      <c r="H216" s="110">
        <v>29</v>
      </c>
      <c r="I216" s="110">
        <v>29</v>
      </c>
      <c r="J216" s="110" t="s">
        <v>179</v>
      </c>
    </row>
    <row r="217" spans="1:10" x14ac:dyDescent="0.3">
      <c r="A217" s="110" t="str">
        <f t="shared" si="15"/>
        <v>B000</v>
      </c>
      <c r="B217" s="110" t="str">
        <f t="shared" si="16"/>
        <v>000</v>
      </c>
      <c r="C217" s="110" t="str">
        <f t="shared" si="14"/>
        <v>22</v>
      </c>
      <c r="D217" s="110" t="str">
        <f>"7532"</f>
        <v>7532</v>
      </c>
      <c r="E217" s="110" t="s">
        <v>466</v>
      </c>
      <c r="F217" s="110">
        <v>0</v>
      </c>
      <c r="G217" s="110">
        <v>0</v>
      </c>
      <c r="H217" s="110">
        <v>0</v>
      </c>
      <c r="I217" s="110">
        <v>0</v>
      </c>
      <c r="J217" s="110" t="s">
        <v>229</v>
      </c>
    </row>
    <row r="218" spans="1:10" x14ac:dyDescent="0.3">
      <c r="A218" s="110" t="str">
        <f t="shared" si="15"/>
        <v>B000</v>
      </c>
      <c r="B218" s="110" t="str">
        <f t="shared" si="16"/>
        <v>000</v>
      </c>
      <c r="C218" s="110" t="str">
        <f t="shared" si="14"/>
        <v>22</v>
      </c>
      <c r="D218" s="110" t="str">
        <f>"7533"</f>
        <v>7533</v>
      </c>
      <c r="E218" s="110" t="s">
        <v>201</v>
      </c>
      <c r="F218" s="28">
        <v>1696</v>
      </c>
      <c r="G218" s="28">
        <v>1695</v>
      </c>
      <c r="H218" s="28">
        <v>1696</v>
      </c>
      <c r="I218" s="28">
        <v>1696</v>
      </c>
      <c r="J218" s="110" t="s">
        <v>179</v>
      </c>
    </row>
    <row r="219" spans="1:10" x14ac:dyDescent="0.3">
      <c r="A219" s="110" t="str">
        <f t="shared" si="15"/>
        <v>B000</v>
      </c>
      <c r="B219" s="110" t="str">
        <f t="shared" si="16"/>
        <v>000</v>
      </c>
      <c r="C219" s="110" t="str">
        <f t="shared" ref="C219:C237" si="17">"22"</f>
        <v>22</v>
      </c>
      <c r="D219" s="110" t="str">
        <f>"7535"</f>
        <v>7535</v>
      </c>
      <c r="E219" s="110" t="s">
        <v>230</v>
      </c>
      <c r="F219" s="28">
        <v>2037</v>
      </c>
      <c r="G219" s="28">
        <v>2037</v>
      </c>
      <c r="H219" s="28">
        <v>2037</v>
      </c>
      <c r="I219" s="28">
        <v>2037</v>
      </c>
      <c r="J219" s="110" t="s">
        <v>179</v>
      </c>
    </row>
    <row r="220" spans="1:10" x14ac:dyDescent="0.3">
      <c r="A220" s="110" t="str">
        <f t="shared" si="15"/>
        <v>B000</v>
      </c>
      <c r="B220" s="110" t="str">
        <f t="shared" si="16"/>
        <v>000</v>
      </c>
      <c r="C220" s="110" t="str">
        <f t="shared" si="17"/>
        <v>22</v>
      </c>
      <c r="D220" s="110" t="str">
        <f>"7536"</f>
        <v>7536</v>
      </c>
      <c r="E220" s="110" t="s">
        <v>231</v>
      </c>
      <c r="F220" s="28">
        <v>3247</v>
      </c>
      <c r="G220" s="28">
        <v>3247</v>
      </c>
      <c r="H220" s="28">
        <v>3247</v>
      </c>
      <c r="I220" s="28">
        <v>3247</v>
      </c>
      <c r="J220" s="110" t="s">
        <v>179</v>
      </c>
    </row>
    <row r="221" spans="1:10" x14ac:dyDescent="0.3">
      <c r="A221" s="110" t="str">
        <f t="shared" si="15"/>
        <v>B000</v>
      </c>
      <c r="B221" s="110" t="str">
        <f t="shared" si="16"/>
        <v>000</v>
      </c>
      <c r="C221" s="110" t="str">
        <f t="shared" si="17"/>
        <v>22</v>
      </c>
      <c r="D221" s="110" t="str">
        <f>"7545"</f>
        <v>7545</v>
      </c>
      <c r="E221" s="110" t="s">
        <v>453</v>
      </c>
      <c r="F221" s="110">
        <v>0</v>
      </c>
      <c r="G221" s="110">
        <v>0</v>
      </c>
      <c r="H221" s="110">
        <v>0</v>
      </c>
      <c r="I221" s="110">
        <v>0</v>
      </c>
      <c r="J221" s="110" t="s">
        <v>179</v>
      </c>
    </row>
    <row r="222" spans="1:10" x14ac:dyDescent="0.3">
      <c r="A222" s="110" t="str">
        <f t="shared" si="15"/>
        <v>B000</v>
      </c>
      <c r="B222" s="110" t="str">
        <f t="shared" si="16"/>
        <v>000</v>
      </c>
      <c r="C222" s="110" t="str">
        <f t="shared" si="17"/>
        <v>22</v>
      </c>
      <c r="D222" s="110" t="str">
        <f>"7548"</f>
        <v>7548</v>
      </c>
      <c r="E222" s="110" t="s">
        <v>467</v>
      </c>
      <c r="F222" s="28">
        <v>8791</v>
      </c>
      <c r="G222" s="28">
        <v>8791</v>
      </c>
      <c r="H222" s="28">
        <v>8791</v>
      </c>
      <c r="I222" s="28">
        <v>8791</v>
      </c>
      <c r="J222" s="110" t="s">
        <v>179</v>
      </c>
    </row>
    <row r="223" spans="1:10" x14ac:dyDescent="0.3">
      <c r="A223" s="110" t="str">
        <f t="shared" si="15"/>
        <v>B000</v>
      </c>
      <c r="B223" s="110" t="str">
        <f t="shared" si="16"/>
        <v>000</v>
      </c>
      <c r="C223" s="110" t="str">
        <f t="shared" si="17"/>
        <v>22</v>
      </c>
      <c r="D223" s="110" t="str">
        <f>"7550"</f>
        <v>7550</v>
      </c>
      <c r="E223" s="110" t="s">
        <v>232</v>
      </c>
      <c r="F223" s="28">
        <v>1493</v>
      </c>
      <c r="G223" s="28">
        <v>1493</v>
      </c>
      <c r="H223" s="28">
        <v>1493</v>
      </c>
      <c r="I223" s="28">
        <v>1493</v>
      </c>
      <c r="J223" s="110" t="s">
        <v>179</v>
      </c>
    </row>
    <row r="224" spans="1:10" x14ac:dyDescent="0.3">
      <c r="A224" s="110" t="str">
        <f t="shared" si="15"/>
        <v>B000</v>
      </c>
      <c r="B224" s="110" t="str">
        <f t="shared" si="16"/>
        <v>000</v>
      </c>
      <c r="C224" s="110" t="str">
        <f t="shared" si="17"/>
        <v>22</v>
      </c>
      <c r="D224" s="110" t="str">
        <f>"7558"</f>
        <v>7558</v>
      </c>
      <c r="E224" s="110" t="s">
        <v>468</v>
      </c>
      <c r="F224" s="110">
        <v>0</v>
      </c>
      <c r="G224" s="110">
        <v>0</v>
      </c>
      <c r="H224" s="110">
        <v>0</v>
      </c>
      <c r="I224" s="110">
        <v>0</v>
      </c>
      <c r="J224" s="110" t="s">
        <v>179</v>
      </c>
    </row>
    <row r="225" spans="1:10" x14ac:dyDescent="0.3">
      <c r="A225" s="110" t="str">
        <f t="shared" si="15"/>
        <v>B000</v>
      </c>
      <c r="B225" s="110" t="str">
        <f t="shared" si="16"/>
        <v>000</v>
      </c>
      <c r="C225" s="110" t="str">
        <f t="shared" si="17"/>
        <v>22</v>
      </c>
      <c r="D225" s="110" t="str">
        <f>"7770"</f>
        <v>7770</v>
      </c>
      <c r="E225" s="110" t="s">
        <v>212</v>
      </c>
      <c r="F225" s="110">
        <v>0</v>
      </c>
      <c r="G225" s="110">
        <v>0</v>
      </c>
      <c r="H225" s="110">
        <v>0</v>
      </c>
      <c r="I225" s="110">
        <v>0</v>
      </c>
      <c r="J225" s="110" t="s">
        <v>203</v>
      </c>
    </row>
    <row r="226" spans="1:10" x14ac:dyDescent="0.3">
      <c r="A226" s="110" t="str">
        <f t="shared" si="15"/>
        <v>B000</v>
      </c>
      <c r="B226" s="110" t="str">
        <f t="shared" si="16"/>
        <v>000</v>
      </c>
      <c r="C226" s="110" t="str">
        <f t="shared" si="17"/>
        <v>22</v>
      </c>
      <c r="D226" s="110" t="str">
        <f>"7771"</f>
        <v>7771</v>
      </c>
      <c r="E226" s="110" t="s">
        <v>202</v>
      </c>
      <c r="F226" s="28">
        <v>1440</v>
      </c>
      <c r="G226" s="28">
        <v>1440</v>
      </c>
      <c r="H226" s="28">
        <v>1440</v>
      </c>
      <c r="I226" s="28">
        <v>1440</v>
      </c>
      <c r="J226" s="110" t="s">
        <v>203</v>
      </c>
    </row>
    <row r="227" spans="1:10" x14ac:dyDescent="0.3">
      <c r="A227" s="110" t="str">
        <f t="shared" si="15"/>
        <v>B000</v>
      </c>
      <c r="B227" s="110" t="str">
        <f t="shared" si="16"/>
        <v>000</v>
      </c>
      <c r="C227" s="110" t="str">
        <f t="shared" si="17"/>
        <v>22</v>
      </c>
      <c r="D227" s="110" t="str">
        <f>"7980"</f>
        <v>7980</v>
      </c>
      <c r="E227" s="110" t="s">
        <v>204</v>
      </c>
      <c r="F227" s="28">
        <v>1858</v>
      </c>
      <c r="G227" s="28">
        <v>1858</v>
      </c>
      <c r="H227" s="28">
        <v>1858</v>
      </c>
      <c r="I227" s="28">
        <v>1858</v>
      </c>
      <c r="J227" s="110" t="s">
        <v>192</v>
      </c>
    </row>
    <row r="228" spans="1:10" x14ac:dyDescent="0.3">
      <c r="A228" s="110" t="str">
        <f t="shared" si="15"/>
        <v>B000</v>
      </c>
      <c r="B228" s="110" t="str">
        <f t="shared" si="16"/>
        <v>000</v>
      </c>
      <c r="C228" s="110" t="str">
        <f t="shared" si="17"/>
        <v>22</v>
      </c>
      <c r="D228" s="110" t="str">
        <f>"8371"</f>
        <v>8371</v>
      </c>
      <c r="E228" s="110" t="s">
        <v>205</v>
      </c>
      <c r="F228" s="110">
        <v>0</v>
      </c>
      <c r="G228" s="110">
        <v>0</v>
      </c>
      <c r="H228" s="110">
        <v>0</v>
      </c>
      <c r="I228" s="110">
        <v>0</v>
      </c>
      <c r="J228" s="110" t="s">
        <v>203</v>
      </c>
    </row>
    <row r="229" spans="1:10" x14ac:dyDescent="0.3">
      <c r="A229" s="110" t="str">
        <f t="shared" si="15"/>
        <v>B000</v>
      </c>
      <c r="B229" s="110" t="str">
        <f t="shared" si="16"/>
        <v>000</v>
      </c>
      <c r="C229" s="110" t="str">
        <f t="shared" si="17"/>
        <v>22</v>
      </c>
      <c r="D229" s="110" t="str">
        <f>"8501"</f>
        <v>8501</v>
      </c>
      <c r="E229" s="110" t="s">
        <v>214</v>
      </c>
      <c r="F229" s="28">
        <v>330222</v>
      </c>
      <c r="G229" s="28">
        <v>330265</v>
      </c>
      <c r="H229" s="28">
        <v>330222</v>
      </c>
      <c r="I229" s="28">
        <v>330222</v>
      </c>
      <c r="J229" s="110" t="s">
        <v>142</v>
      </c>
    </row>
    <row r="230" spans="1:10" x14ac:dyDescent="0.3">
      <c r="A230" s="110" t="str">
        <f t="shared" si="15"/>
        <v>B000</v>
      </c>
      <c r="B230" s="110" t="str">
        <f t="shared" si="16"/>
        <v>000</v>
      </c>
      <c r="C230" s="110" t="str">
        <f t="shared" si="17"/>
        <v>22</v>
      </c>
      <c r="D230" s="110" t="str">
        <f>"8503"</f>
        <v>8503</v>
      </c>
      <c r="E230" s="110" t="s">
        <v>233</v>
      </c>
      <c r="F230" s="28">
        <v>2899584</v>
      </c>
      <c r="G230" s="28">
        <v>2888530</v>
      </c>
      <c r="H230" s="28">
        <v>2899584</v>
      </c>
      <c r="I230" s="28">
        <v>2899584</v>
      </c>
      <c r="J230" s="110" t="s">
        <v>142</v>
      </c>
    </row>
    <row r="231" spans="1:10" x14ac:dyDescent="0.3">
      <c r="A231" s="110" t="str">
        <f t="shared" si="15"/>
        <v>B000</v>
      </c>
      <c r="B231" s="110" t="str">
        <f t="shared" si="16"/>
        <v>000</v>
      </c>
      <c r="C231" s="110" t="str">
        <f t="shared" si="17"/>
        <v>22</v>
      </c>
      <c r="D231" s="110" t="str">
        <f>"8516"</f>
        <v>8516</v>
      </c>
      <c r="E231" s="110" t="s">
        <v>234</v>
      </c>
      <c r="F231" s="28">
        <v>644632</v>
      </c>
      <c r="G231" s="28">
        <v>644632</v>
      </c>
      <c r="H231" s="28">
        <v>644632</v>
      </c>
      <c r="I231" s="28">
        <v>644632</v>
      </c>
      <c r="J231" s="110" t="s">
        <v>142</v>
      </c>
    </row>
    <row r="232" spans="1:10" x14ac:dyDescent="0.3">
      <c r="A232" s="110" t="str">
        <f t="shared" si="15"/>
        <v>B000</v>
      </c>
      <c r="B232" s="110" t="str">
        <f t="shared" si="16"/>
        <v>000</v>
      </c>
      <c r="C232" s="110" t="str">
        <f t="shared" si="17"/>
        <v>22</v>
      </c>
      <c r="D232" s="110" t="str">
        <f>"8550"</f>
        <v>8550</v>
      </c>
      <c r="E232" s="110" t="s">
        <v>235</v>
      </c>
      <c r="F232" s="28">
        <v>74620</v>
      </c>
      <c r="G232" s="28">
        <v>74620</v>
      </c>
      <c r="H232" s="28">
        <v>74620</v>
      </c>
      <c r="I232" s="28">
        <v>74620</v>
      </c>
      <c r="J232" s="110" t="s">
        <v>142</v>
      </c>
    </row>
    <row r="233" spans="1:10" x14ac:dyDescent="0.3">
      <c r="A233" s="110" t="str">
        <f t="shared" si="15"/>
        <v>B000</v>
      </c>
      <c r="B233" s="110" t="str">
        <f t="shared" si="16"/>
        <v>000</v>
      </c>
      <c r="C233" s="110" t="str">
        <f t="shared" si="17"/>
        <v>22</v>
      </c>
      <c r="D233" s="110" t="str">
        <f>"8586"</f>
        <v>8586</v>
      </c>
      <c r="E233" s="110" t="s">
        <v>469</v>
      </c>
      <c r="F233" s="28">
        <v>897013</v>
      </c>
      <c r="G233" s="28">
        <v>897013</v>
      </c>
      <c r="H233" s="28">
        <v>897013</v>
      </c>
      <c r="I233" s="28">
        <v>897013</v>
      </c>
      <c r="J233" s="110" t="s">
        <v>142</v>
      </c>
    </row>
    <row r="234" spans="1:10" x14ac:dyDescent="0.3">
      <c r="A234" s="110" t="str">
        <f t="shared" si="15"/>
        <v>B000</v>
      </c>
      <c r="B234" s="110" t="str">
        <f t="shared" si="16"/>
        <v>000</v>
      </c>
      <c r="C234" s="110" t="str">
        <f t="shared" si="17"/>
        <v>22</v>
      </c>
      <c r="D234" s="110" t="str">
        <f>"8640"</f>
        <v>8640</v>
      </c>
      <c r="E234" s="110" t="s">
        <v>470</v>
      </c>
      <c r="F234" s="28">
        <v>10381</v>
      </c>
      <c r="G234" s="28">
        <v>10381</v>
      </c>
      <c r="H234" s="28">
        <v>10381</v>
      </c>
      <c r="I234" s="28">
        <v>10381</v>
      </c>
      <c r="J234" s="110" t="s">
        <v>142</v>
      </c>
    </row>
    <row r="235" spans="1:10" x14ac:dyDescent="0.3">
      <c r="A235" s="110" t="str">
        <f t="shared" si="15"/>
        <v>B000</v>
      </c>
      <c r="B235" s="110" t="str">
        <f t="shared" si="16"/>
        <v>000</v>
      </c>
      <c r="C235" s="110" t="str">
        <f t="shared" si="17"/>
        <v>22</v>
      </c>
      <c r="D235" s="110" t="str">
        <f>"8647"</f>
        <v>8647</v>
      </c>
      <c r="E235" s="110" t="s">
        <v>207</v>
      </c>
      <c r="F235" s="110">
        <v>0</v>
      </c>
      <c r="G235" s="110">
        <v>0</v>
      </c>
      <c r="H235" s="110">
        <v>0</v>
      </c>
      <c r="I235" s="110">
        <v>0</v>
      </c>
      <c r="J235" s="110" t="s">
        <v>142</v>
      </c>
    </row>
    <row r="236" spans="1:10" x14ac:dyDescent="0.3">
      <c r="A236" s="110" t="str">
        <f t="shared" si="15"/>
        <v>B000</v>
      </c>
      <c r="B236" s="110" t="str">
        <f t="shared" si="16"/>
        <v>000</v>
      </c>
      <c r="C236" s="110" t="str">
        <f t="shared" si="17"/>
        <v>22</v>
      </c>
      <c r="D236" s="110" t="str">
        <f>"8785"</f>
        <v>8785</v>
      </c>
      <c r="E236" s="110" t="s">
        <v>240</v>
      </c>
      <c r="F236" s="28">
        <v>4111</v>
      </c>
      <c r="G236" s="28">
        <v>4111</v>
      </c>
      <c r="H236" s="28">
        <v>4111</v>
      </c>
      <c r="I236" s="28">
        <v>4111</v>
      </c>
      <c r="J236" s="110" t="s">
        <v>142</v>
      </c>
    </row>
    <row r="237" spans="1:10" x14ac:dyDescent="0.3">
      <c r="A237" s="110" t="str">
        <f t="shared" si="15"/>
        <v>B000</v>
      </c>
      <c r="B237" s="110" t="str">
        <f t="shared" si="16"/>
        <v>000</v>
      </c>
      <c r="C237" s="110" t="str">
        <f t="shared" si="17"/>
        <v>22</v>
      </c>
      <c r="D237" s="110" t="str">
        <f>"9043"</f>
        <v>9043</v>
      </c>
      <c r="E237" s="110" t="s">
        <v>237</v>
      </c>
      <c r="F237" s="28">
        <v>381637</v>
      </c>
      <c r="G237" s="28">
        <v>381637</v>
      </c>
      <c r="H237" s="28">
        <v>381637</v>
      </c>
      <c r="I237" s="28">
        <v>381637</v>
      </c>
      <c r="J237" s="110" t="s">
        <v>142</v>
      </c>
    </row>
    <row r="238" spans="1:10" x14ac:dyDescent="0.3">
      <c r="A238" s="110" t="str">
        <f t="shared" si="15"/>
        <v>B000</v>
      </c>
      <c r="B238" s="110" t="str">
        <f t="shared" si="16"/>
        <v>000</v>
      </c>
      <c r="C238" s="110" t="str">
        <f t="shared" ref="C238:C301" si="18">"23"</f>
        <v>23</v>
      </c>
      <c r="D238" s="110" t="str">
        <f>"6100"</f>
        <v>6100</v>
      </c>
      <c r="E238" s="110" t="s">
        <v>181</v>
      </c>
      <c r="F238" s="28">
        <v>3146</v>
      </c>
      <c r="G238" s="28">
        <v>3146</v>
      </c>
      <c r="H238" s="28">
        <v>3146</v>
      </c>
      <c r="I238" s="28">
        <v>3146</v>
      </c>
      <c r="J238" s="110" t="s">
        <v>142</v>
      </c>
    </row>
    <row r="239" spans="1:10" x14ac:dyDescent="0.3">
      <c r="A239" s="110" t="str">
        <f t="shared" si="15"/>
        <v>B000</v>
      </c>
      <c r="B239" s="110" t="str">
        <f t="shared" si="16"/>
        <v>000</v>
      </c>
      <c r="C239" s="110" t="str">
        <f t="shared" si="18"/>
        <v>23</v>
      </c>
      <c r="D239" s="110" t="str">
        <f>"6110"</f>
        <v>6110</v>
      </c>
      <c r="E239" s="110" t="s">
        <v>455</v>
      </c>
      <c r="F239" s="110">
        <v>47</v>
      </c>
      <c r="G239" s="110">
        <v>47</v>
      </c>
      <c r="H239" s="110">
        <v>47</v>
      </c>
      <c r="I239" s="110">
        <v>47</v>
      </c>
      <c r="J239" s="110" t="s">
        <v>142</v>
      </c>
    </row>
    <row r="240" spans="1:10" x14ac:dyDescent="0.3">
      <c r="A240" s="110" t="str">
        <f t="shared" si="15"/>
        <v>B000</v>
      </c>
      <c r="B240" s="110" t="str">
        <f t="shared" si="16"/>
        <v>000</v>
      </c>
      <c r="C240" s="110" t="str">
        <f t="shared" si="18"/>
        <v>23</v>
      </c>
      <c r="D240" s="110" t="str">
        <f>"6115"</f>
        <v>6115</v>
      </c>
      <c r="E240" s="110" t="s">
        <v>215</v>
      </c>
      <c r="F240" s="110">
        <v>0</v>
      </c>
      <c r="G240" s="110">
        <v>0</v>
      </c>
      <c r="H240" s="110">
        <v>0</v>
      </c>
      <c r="I240" s="110">
        <v>0</v>
      </c>
      <c r="J240" s="110" t="s">
        <v>142</v>
      </c>
    </row>
    <row r="241" spans="1:10" x14ac:dyDescent="0.3">
      <c r="A241" s="110" t="str">
        <f t="shared" si="15"/>
        <v>B000</v>
      </c>
      <c r="B241" s="110" t="str">
        <f t="shared" si="16"/>
        <v>000</v>
      </c>
      <c r="C241" s="110" t="str">
        <f t="shared" si="18"/>
        <v>23</v>
      </c>
      <c r="D241" s="110" t="str">
        <f>"6120"</f>
        <v>6120</v>
      </c>
      <c r="E241" s="110" t="s">
        <v>216</v>
      </c>
      <c r="F241" s="110">
        <v>0</v>
      </c>
      <c r="G241" s="110">
        <v>0</v>
      </c>
      <c r="H241" s="110">
        <v>0</v>
      </c>
      <c r="I241" s="110">
        <v>0</v>
      </c>
      <c r="J241" s="110" t="s">
        <v>142</v>
      </c>
    </row>
    <row r="242" spans="1:10" x14ac:dyDescent="0.3">
      <c r="A242" s="110" t="str">
        <f t="shared" si="15"/>
        <v>B000</v>
      </c>
      <c r="B242" s="110" t="str">
        <f t="shared" si="16"/>
        <v>000</v>
      </c>
      <c r="C242" s="110" t="str">
        <f t="shared" si="18"/>
        <v>23</v>
      </c>
      <c r="D242" s="110" t="str">
        <f>"6130"</f>
        <v>6130</v>
      </c>
      <c r="E242" s="110" t="s">
        <v>182</v>
      </c>
      <c r="F242" s="110">
        <v>146</v>
      </c>
      <c r="G242" s="110">
        <v>146</v>
      </c>
      <c r="H242" s="110">
        <v>146</v>
      </c>
      <c r="I242" s="110">
        <v>146</v>
      </c>
      <c r="J242" s="110" t="s">
        <v>142</v>
      </c>
    </row>
    <row r="243" spans="1:10" x14ac:dyDescent="0.3">
      <c r="A243" s="110" t="str">
        <f t="shared" si="15"/>
        <v>B000</v>
      </c>
      <c r="B243" s="110" t="str">
        <f t="shared" si="16"/>
        <v>000</v>
      </c>
      <c r="C243" s="110" t="str">
        <f t="shared" si="18"/>
        <v>23</v>
      </c>
      <c r="D243" s="110" t="str">
        <f>"6140"</f>
        <v>6140</v>
      </c>
      <c r="E243" s="110" t="s">
        <v>183</v>
      </c>
      <c r="F243" s="110">
        <v>319</v>
      </c>
      <c r="G243" s="110">
        <v>319</v>
      </c>
      <c r="H243" s="110">
        <v>319</v>
      </c>
      <c r="I243" s="110">
        <v>319</v>
      </c>
      <c r="J243" s="110" t="s">
        <v>142</v>
      </c>
    </row>
    <row r="244" spans="1:10" x14ac:dyDescent="0.3">
      <c r="A244" s="110" t="str">
        <f t="shared" si="15"/>
        <v>B000</v>
      </c>
      <c r="B244" s="110" t="str">
        <f t="shared" si="16"/>
        <v>000</v>
      </c>
      <c r="C244" s="110" t="str">
        <f t="shared" si="18"/>
        <v>23</v>
      </c>
      <c r="D244" s="110" t="str">
        <f>"6150"</f>
        <v>6150</v>
      </c>
      <c r="E244" s="110" t="s">
        <v>184</v>
      </c>
      <c r="F244" s="28">
        <v>1883</v>
      </c>
      <c r="G244" s="28">
        <v>1883</v>
      </c>
      <c r="H244" s="28">
        <v>1883</v>
      </c>
      <c r="I244" s="28">
        <v>1883</v>
      </c>
      <c r="J244" s="110" t="s">
        <v>142</v>
      </c>
    </row>
    <row r="245" spans="1:10" x14ac:dyDescent="0.3">
      <c r="A245" s="110" t="str">
        <f t="shared" si="15"/>
        <v>B000</v>
      </c>
      <c r="B245" s="110" t="str">
        <f t="shared" si="16"/>
        <v>000</v>
      </c>
      <c r="C245" s="110" t="str">
        <f t="shared" si="18"/>
        <v>23</v>
      </c>
      <c r="D245" s="110" t="str">
        <f>"6200"</f>
        <v>6200</v>
      </c>
      <c r="E245" s="110" t="s">
        <v>169</v>
      </c>
      <c r="F245" s="110">
        <v>609</v>
      </c>
      <c r="G245" s="110">
        <v>609</v>
      </c>
      <c r="H245" s="110">
        <v>609</v>
      </c>
      <c r="I245" s="110">
        <v>609</v>
      </c>
      <c r="J245" s="110" t="s">
        <v>142</v>
      </c>
    </row>
    <row r="246" spans="1:10" x14ac:dyDescent="0.3">
      <c r="A246" s="110" t="str">
        <f t="shared" si="15"/>
        <v>B000</v>
      </c>
      <c r="B246" s="110" t="str">
        <f t="shared" si="16"/>
        <v>000</v>
      </c>
      <c r="C246" s="110" t="str">
        <f t="shared" si="18"/>
        <v>23</v>
      </c>
      <c r="D246" s="110" t="str">
        <f>"6210"</f>
        <v>6210</v>
      </c>
      <c r="E246" s="110" t="s">
        <v>185</v>
      </c>
      <c r="F246" s="110">
        <v>279</v>
      </c>
      <c r="G246" s="110">
        <v>279</v>
      </c>
      <c r="H246" s="110">
        <v>279</v>
      </c>
      <c r="I246" s="110">
        <v>279</v>
      </c>
      <c r="J246" s="110" t="s">
        <v>142</v>
      </c>
    </row>
    <row r="247" spans="1:10" x14ac:dyDescent="0.3">
      <c r="A247" s="110" t="str">
        <f t="shared" si="15"/>
        <v>B000</v>
      </c>
      <c r="B247" s="110" t="str">
        <f t="shared" si="16"/>
        <v>000</v>
      </c>
      <c r="C247" s="110" t="str">
        <f t="shared" si="18"/>
        <v>23</v>
      </c>
      <c r="D247" s="110" t="str">
        <f>"6215"</f>
        <v>6215</v>
      </c>
      <c r="E247" s="110" t="s">
        <v>186</v>
      </c>
      <c r="F247" s="110">
        <v>48</v>
      </c>
      <c r="G247" s="110">
        <v>48</v>
      </c>
      <c r="H247" s="110">
        <v>48</v>
      </c>
      <c r="I247" s="110">
        <v>48</v>
      </c>
      <c r="J247" s="110" t="s">
        <v>142</v>
      </c>
    </row>
    <row r="248" spans="1:10" x14ac:dyDescent="0.3">
      <c r="A248" s="110" t="str">
        <f t="shared" si="15"/>
        <v>B000</v>
      </c>
      <c r="B248" s="110" t="str">
        <f t="shared" si="16"/>
        <v>000</v>
      </c>
      <c r="C248" s="110" t="str">
        <f t="shared" si="18"/>
        <v>23</v>
      </c>
      <c r="D248" s="110" t="str">
        <f>"6220"</f>
        <v>6220</v>
      </c>
      <c r="E248" s="110" t="s">
        <v>238</v>
      </c>
      <c r="F248" s="110">
        <v>0</v>
      </c>
      <c r="G248" s="110">
        <v>0</v>
      </c>
      <c r="H248" s="110">
        <v>0</v>
      </c>
      <c r="I248" s="110">
        <v>0</v>
      </c>
      <c r="J248" s="110" t="s">
        <v>142</v>
      </c>
    </row>
    <row r="249" spans="1:10" x14ac:dyDescent="0.3">
      <c r="A249" s="110" t="str">
        <f t="shared" si="15"/>
        <v>B000</v>
      </c>
      <c r="B249" s="110" t="str">
        <f t="shared" si="16"/>
        <v>000</v>
      </c>
      <c r="C249" s="110" t="str">
        <f t="shared" si="18"/>
        <v>23</v>
      </c>
      <c r="D249" s="110" t="str">
        <f>"6240"</f>
        <v>6240</v>
      </c>
      <c r="E249" s="110" t="s">
        <v>170</v>
      </c>
      <c r="F249" s="28">
        <v>1678</v>
      </c>
      <c r="G249" s="28">
        <v>1678</v>
      </c>
      <c r="H249" s="28">
        <v>1678</v>
      </c>
      <c r="I249" s="28">
        <v>1678</v>
      </c>
      <c r="J249" s="110" t="s">
        <v>142</v>
      </c>
    </row>
    <row r="250" spans="1:10" x14ac:dyDescent="0.3">
      <c r="A250" s="110" t="str">
        <f t="shared" si="15"/>
        <v>B000</v>
      </c>
      <c r="B250" s="110" t="str">
        <f t="shared" si="16"/>
        <v>000</v>
      </c>
      <c r="C250" s="110" t="str">
        <f t="shared" si="18"/>
        <v>23</v>
      </c>
      <c r="D250" s="110" t="str">
        <f>"6250"</f>
        <v>6250</v>
      </c>
      <c r="E250" s="110" t="s">
        <v>171</v>
      </c>
      <c r="F250" s="28">
        <v>1306</v>
      </c>
      <c r="G250" s="28">
        <v>1306</v>
      </c>
      <c r="H250" s="28">
        <v>1306</v>
      </c>
      <c r="I250" s="28">
        <v>1306</v>
      </c>
      <c r="J250" s="110" t="s">
        <v>142</v>
      </c>
    </row>
    <row r="251" spans="1:10" x14ac:dyDescent="0.3">
      <c r="A251" s="110" t="str">
        <f t="shared" si="15"/>
        <v>B000</v>
      </c>
      <c r="B251" s="110" t="str">
        <f t="shared" si="16"/>
        <v>000</v>
      </c>
      <c r="C251" s="110" t="str">
        <f t="shared" si="18"/>
        <v>23</v>
      </c>
      <c r="D251" s="110" t="str">
        <f>"7000"</f>
        <v>7000</v>
      </c>
      <c r="E251" s="110" t="s">
        <v>180</v>
      </c>
      <c r="F251" s="28">
        <v>71836</v>
      </c>
      <c r="G251" s="28">
        <v>72592</v>
      </c>
      <c r="H251" s="28">
        <v>71836</v>
      </c>
      <c r="I251" s="28">
        <v>71836</v>
      </c>
      <c r="J251" s="110" t="s">
        <v>142</v>
      </c>
    </row>
    <row r="252" spans="1:10" x14ac:dyDescent="0.3">
      <c r="A252" s="110" t="str">
        <f t="shared" si="15"/>
        <v>B000</v>
      </c>
      <c r="B252" s="110" t="str">
        <f t="shared" si="16"/>
        <v>000</v>
      </c>
      <c r="C252" s="110" t="str">
        <f t="shared" si="18"/>
        <v>23</v>
      </c>
      <c r="D252" s="110" t="str">
        <f>"7001"</f>
        <v>7001</v>
      </c>
      <c r="E252" s="110" t="s">
        <v>451</v>
      </c>
      <c r="F252" s="110">
        <v>0</v>
      </c>
      <c r="G252" s="110">
        <v>0</v>
      </c>
      <c r="H252" s="110">
        <v>0</v>
      </c>
      <c r="I252" s="110">
        <v>0</v>
      </c>
      <c r="J252" s="110" t="s">
        <v>142</v>
      </c>
    </row>
    <row r="253" spans="1:10" x14ac:dyDescent="0.3">
      <c r="A253" s="110" t="str">
        <f t="shared" si="15"/>
        <v>B000</v>
      </c>
      <c r="B253" s="110" t="str">
        <f t="shared" si="16"/>
        <v>000</v>
      </c>
      <c r="C253" s="110" t="str">
        <f t="shared" si="18"/>
        <v>23</v>
      </c>
      <c r="D253" s="110" t="str">
        <f>"7020"</f>
        <v>7020</v>
      </c>
      <c r="E253" s="110" t="s">
        <v>11</v>
      </c>
      <c r="F253" s="28">
        <v>2331</v>
      </c>
      <c r="G253" s="28">
        <v>2331</v>
      </c>
      <c r="H253" s="28">
        <v>2331</v>
      </c>
      <c r="I253" s="28">
        <v>2331</v>
      </c>
      <c r="J253" s="110" t="s">
        <v>142</v>
      </c>
    </row>
    <row r="254" spans="1:10" x14ac:dyDescent="0.3">
      <c r="A254" s="110" t="str">
        <f t="shared" si="15"/>
        <v>B000</v>
      </c>
      <c r="B254" s="110" t="str">
        <f t="shared" si="16"/>
        <v>000</v>
      </c>
      <c r="C254" s="110" t="str">
        <f t="shared" si="18"/>
        <v>23</v>
      </c>
      <c r="D254" s="110" t="str">
        <f>"7030"</f>
        <v>7030</v>
      </c>
      <c r="E254" s="110" t="s">
        <v>187</v>
      </c>
      <c r="F254" s="110">
        <v>303</v>
      </c>
      <c r="G254" s="110">
        <v>303</v>
      </c>
      <c r="H254" s="110">
        <v>303</v>
      </c>
      <c r="I254" s="110">
        <v>303</v>
      </c>
      <c r="J254" s="110" t="s">
        <v>142</v>
      </c>
    </row>
    <row r="255" spans="1:10" x14ac:dyDescent="0.3">
      <c r="A255" s="110" t="str">
        <f t="shared" si="15"/>
        <v>B000</v>
      </c>
      <c r="B255" s="110" t="str">
        <f t="shared" si="16"/>
        <v>000</v>
      </c>
      <c r="C255" s="110" t="str">
        <f t="shared" si="18"/>
        <v>23</v>
      </c>
      <c r="D255" s="110" t="str">
        <f>"7040"</f>
        <v>7040</v>
      </c>
      <c r="E255" s="110" t="s">
        <v>10</v>
      </c>
      <c r="F255" s="110">
        <v>0</v>
      </c>
      <c r="G255" s="110">
        <v>0</v>
      </c>
      <c r="H255" s="110">
        <v>0</v>
      </c>
      <c r="I255" s="110">
        <v>0</v>
      </c>
      <c r="J255" s="110" t="s">
        <v>142</v>
      </c>
    </row>
    <row r="256" spans="1:10" x14ac:dyDescent="0.3">
      <c r="A256" s="110" t="str">
        <f t="shared" si="15"/>
        <v>B000</v>
      </c>
      <c r="B256" s="110" t="str">
        <f t="shared" si="16"/>
        <v>000</v>
      </c>
      <c r="C256" s="110" t="str">
        <f t="shared" si="18"/>
        <v>23</v>
      </c>
      <c r="D256" s="110" t="str">
        <f>"7044"</f>
        <v>7044</v>
      </c>
      <c r="E256" s="110" t="s">
        <v>448</v>
      </c>
      <c r="F256" s="28">
        <v>1745</v>
      </c>
      <c r="G256" s="28">
        <v>1745</v>
      </c>
      <c r="H256" s="28">
        <v>1745</v>
      </c>
      <c r="I256" s="28">
        <v>1745</v>
      </c>
      <c r="J256" s="110" t="s">
        <v>142</v>
      </c>
    </row>
    <row r="257" spans="1:10" x14ac:dyDescent="0.3">
      <c r="A257" s="110" t="str">
        <f t="shared" si="15"/>
        <v>B000</v>
      </c>
      <c r="B257" s="110" t="str">
        <f t="shared" si="16"/>
        <v>000</v>
      </c>
      <c r="C257" s="110" t="str">
        <f t="shared" si="18"/>
        <v>23</v>
      </c>
      <c r="D257" s="110" t="str">
        <f>"7051"</f>
        <v>7051</v>
      </c>
      <c r="E257" s="110" t="s">
        <v>188</v>
      </c>
      <c r="F257" s="110">
        <v>0</v>
      </c>
      <c r="G257" s="110">
        <v>0</v>
      </c>
      <c r="H257" s="110">
        <v>0</v>
      </c>
      <c r="I257" s="110">
        <v>0</v>
      </c>
      <c r="J257" s="110" t="s">
        <v>189</v>
      </c>
    </row>
    <row r="258" spans="1:10" x14ac:dyDescent="0.3">
      <c r="A258" s="110" t="str">
        <f t="shared" si="15"/>
        <v>B000</v>
      </c>
      <c r="B258" s="110" t="str">
        <f t="shared" si="16"/>
        <v>000</v>
      </c>
      <c r="C258" s="110" t="str">
        <f t="shared" si="18"/>
        <v>23</v>
      </c>
      <c r="D258" s="110" t="str">
        <f>"7052"</f>
        <v>7052</v>
      </c>
      <c r="E258" s="110" t="s">
        <v>219</v>
      </c>
      <c r="F258" s="110">
        <v>999</v>
      </c>
      <c r="G258" s="110">
        <v>999</v>
      </c>
      <c r="H258" s="110">
        <v>999</v>
      </c>
      <c r="I258" s="110">
        <v>999</v>
      </c>
      <c r="J258" s="110" t="s">
        <v>220</v>
      </c>
    </row>
    <row r="259" spans="1:10" x14ac:dyDescent="0.3">
      <c r="A259" s="110" t="str">
        <f t="shared" si="15"/>
        <v>B000</v>
      </c>
      <c r="B259" s="110" t="str">
        <f t="shared" si="16"/>
        <v>000</v>
      </c>
      <c r="C259" s="110" t="str">
        <f t="shared" si="18"/>
        <v>23</v>
      </c>
      <c r="D259" s="110" t="str">
        <f>"7059"</f>
        <v>7059</v>
      </c>
      <c r="E259" s="110" t="s">
        <v>221</v>
      </c>
      <c r="F259" s="28">
        <v>4428</v>
      </c>
      <c r="G259" s="28">
        <v>4428</v>
      </c>
      <c r="H259" s="28">
        <v>4428</v>
      </c>
      <c r="I259" s="28">
        <v>4428</v>
      </c>
      <c r="J259" s="110" t="s">
        <v>220</v>
      </c>
    </row>
    <row r="260" spans="1:10" x14ac:dyDescent="0.3">
      <c r="A260" s="110" t="str">
        <f t="shared" si="15"/>
        <v>B000</v>
      </c>
      <c r="B260" s="110" t="str">
        <f t="shared" si="16"/>
        <v>000</v>
      </c>
      <c r="C260" s="110" t="str">
        <f t="shared" si="18"/>
        <v>23</v>
      </c>
      <c r="D260" s="110" t="str">
        <f>"705A"</f>
        <v>705A</v>
      </c>
      <c r="E260" s="110" t="s">
        <v>190</v>
      </c>
      <c r="F260" s="110">
        <v>12</v>
      </c>
      <c r="G260" s="110">
        <v>12</v>
      </c>
      <c r="H260" s="110">
        <v>12</v>
      </c>
      <c r="I260" s="110">
        <v>12</v>
      </c>
      <c r="J260" s="110" t="s">
        <v>175</v>
      </c>
    </row>
    <row r="261" spans="1:10" x14ac:dyDescent="0.3">
      <c r="A261" s="110" t="str">
        <f t="shared" si="15"/>
        <v>B000</v>
      </c>
      <c r="B261" s="110" t="str">
        <f t="shared" si="16"/>
        <v>000</v>
      </c>
      <c r="C261" s="110" t="str">
        <f t="shared" si="18"/>
        <v>23</v>
      </c>
      <c r="D261" s="110" t="str">
        <f>"7061"</f>
        <v>7061</v>
      </c>
      <c r="E261" s="110" t="s">
        <v>210</v>
      </c>
      <c r="F261" s="110">
        <v>0</v>
      </c>
      <c r="G261" s="110">
        <v>0</v>
      </c>
      <c r="H261" s="110">
        <v>0</v>
      </c>
      <c r="I261" s="110">
        <v>0</v>
      </c>
      <c r="J261" s="110" t="s">
        <v>192</v>
      </c>
    </row>
    <row r="262" spans="1:10" x14ac:dyDescent="0.3">
      <c r="A262" s="110" t="str">
        <f t="shared" si="15"/>
        <v>B000</v>
      </c>
      <c r="B262" s="110" t="str">
        <f t="shared" si="16"/>
        <v>000</v>
      </c>
      <c r="C262" s="110" t="str">
        <f t="shared" si="18"/>
        <v>23</v>
      </c>
      <c r="D262" s="110" t="str">
        <f>"7066"</f>
        <v>7066</v>
      </c>
      <c r="E262" s="110" t="s">
        <v>222</v>
      </c>
      <c r="F262" s="28">
        <v>10000</v>
      </c>
      <c r="G262" s="28">
        <v>10000</v>
      </c>
      <c r="H262" s="28">
        <v>10000</v>
      </c>
      <c r="I262" s="28">
        <v>10000</v>
      </c>
      <c r="J262" s="110" t="s">
        <v>192</v>
      </c>
    </row>
    <row r="263" spans="1:10" x14ac:dyDescent="0.3">
      <c r="A263" s="110" t="str">
        <f t="shared" si="15"/>
        <v>B000</v>
      </c>
      <c r="B263" s="110" t="str">
        <f t="shared" si="16"/>
        <v>000</v>
      </c>
      <c r="C263" s="110" t="str">
        <f t="shared" si="18"/>
        <v>23</v>
      </c>
      <c r="D263" s="110" t="str">
        <f>"7073"</f>
        <v>7073</v>
      </c>
      <c r="E263" s="110" t="s">
        <v>194</v>
      </c>
      <c r="F263" s="28">
        <v>54405</v>
      </c>
      <c r="G263" s="28">
        <v>54405</v>
      </c>
      <c r="H263" s="28">
        <v>54405</v>
      </c>
      <c r="I263" s="28">
        <v>54405</v>
      </c>
      <c r="J263" s="110" t="s">
        <v>192</v>
      </c>
    </row>
    <row r="264" spans="1:10" x14ac:dyDescent="0.3">
      <c r="A264" s="110" t="str">
        <f t="shared" si="15"/>
        <v>B000</v>
      </c>
      <c r="B264" s="110" t="str">
        <f t="shared" si="16"/>
        <v>000</v>
      </c>
      <c r="C264" s="110" t="str">
        <f t="shared" si="18"/>
        <v>23</v>
      </c>
      <c r="D264" s="110" t="str">
        <f>"7080"</f>
        <v>7080</v>
      </c>
      <c r="E264" s="110" t="s">
        <v>454</v>
      </c>
      <c r="F264" s="110">
        <v>0</v>
      </c>
      <c r="G264" s="110">
        <v>0</v>
      </c>
      <c r="H264" s="110">
        <v>0</v>
      </c>
      <c r="I264" s="110">
        <v>0</v>
      </c>
      <c r="J264" s="110" t="s">
        <v>142</v>
      </c>
    </row>
    <row r="265" spans="1:10" x14ac:dyDescent="0.3">
      <c r="A265" s="110" t="str">
        <f t="shared" si="15"/>
        <v>B000</v>
      </c>
      <c r="B265" s="110" t="str">
        <f t="shared" si="16"/>
        <v>000</v>
      </c>
      <c r="C265" s="110" t="str">
        <f t="shared" si="18"/>
        <v>23</v>
      </c>
      <c r="D265" s="110" t="str">
        <f>"7110"</f>
        <v>7110</v>
      </c>
      <c r="E265" s="110" t="s">
        <v>174</v>
      </c>
      <c r="F265" s="28">
        <v>17740</v>
      </c>
      <c r="G265" s="28">
        <v>18273</v>
      </c>
      <c r="H265" s="28">
        <v>17740</v>
      </c>
      <c r="I265" s="28">
        <v>17740</v>
      </c>
      <c r="J265" s="110" t="s">
        <v>175</v>
      </c>
    </row>
    <row r="266" spans="1:10" x14ac:dyDescent="0.3">
      <c r="A266" s="110" t="str">
        <f t="shared" si="15"/>
        <v>B000</v>
      </c>
      <c r="B266" s="110" t="str">
        <f t="shared" si="16"/>
        <v>000</v>
      </c>
      <c r="C266" s="110" t="str">
        <f t="shared" si="18"/>
        <v>23</v>
      </c>
      <c r="D266" s="110" t="str">
        <f>"7111"</f>
        <v>7111</v>
      </c>
      <c r="E266" s="110" t="s">
        <v>176</v>
      </c>
      <c r="F266" s="110">
        <v>0</v>
      </c>
      <c r="G266" s="110">
        <v>0</v>
      </c>
      <c r="H266" s="110">
        <v>0</v>
      </c>
      <c r="I266" s="110">
        <v>0</v>
      </c>
      <c r="J266" s="110" t="s">
        <v>175</v>
      </c>
    </row>
    <row r="267" spans="1:10" x14ac:dyDescent="0.3">
      <c r="A267" s="110" t="str">
        <f t="shared" si="15"/>
        <v>B000</v>
      </c>
      <c r="B267" s="110" t="str">
        <f t="shared" si="16"/>
        <v>000</v>
      </c>
      <c r="C267" s="110" t="str">
        <f t="shared" si="18"/>
        <v>23</v>
      </c>
      <c r="D267" s="110" t="str">
        <f>"7138"</f>
        <v>7138</v>
      </c>
      <c r="E267" s="110" t="s">
        <v>177</v>
      </c>
      <c r="F267" s="28">
        <v>1007</v>
      </c>
      <c r="G267" s="28">
        <v>1007</v>
      </c>
      <c r="H267" s="28">
        <v>1007</v>
      </c>
      <c r="I267" s="28">
        <v>1007</v>
      </c>
      <c r="J267" s="110" t="s">
        <v>142</v>
      </c>
    </row>
    <row r="268" spans="1:10" x14ac:dyDescent="0.3">
      <c r="A268" s="110" t="str">
        <f t="shared" si="15"/>
        <v>B000</v>
      </c>
      <c r="B268" s="110" t="str">
        <f t="shared" si="16"/>
        <v>000</v>
      </c>
      <c r="C268" s="110" t="str">
        <f t="shared" si="18"/>
        <v>23</v>
      </c>
      <c r="D268" s="110" t="str">
        <f>"7151"</f>
        <v>7151</v>
      </c>
      <c r="E268" s="110" t="s">
        <v>223</v>
      </c>
      <c r="F268" s="110">
        <v>0</v>
      </c>
      <c r="G268" s="110">
        <v>0</v>
      </c>
      <c r="H268" s="110">
        <v>0</v>
      </c>
      <c r="I268" s="110">
        <v>0</v>
      </c>
      <c r="J268" s="110" t="s">
        <v>142</v>
      </c>
    </row>
    <row r="269" spans="1:10" x14ac:dyDescent="0.3">
      <c r="A269" s="110" t="str">
        <f t="shared" si="15"/>
        <v>B000</v>
      </c>
      <c r="B269" s="110" t="str">
        <f t="shared" si="16"/>
        <v>000</v>
      </c>
      <c r="C269" s="110" t="str">
        <f t="shared" si="18"/>
        <v>23</v>
      </c>
      <c r="D269" s="110" t="str">
        <f>"7185"</f>
        <v>7185</v>
      </c>
      <c r="E269" s="110" t="s">
        <v>225</v>
      </c>
      <c r="F269" s="28">
        <v>11135</v>
      </c>
      <c r="G269" s="28">
        <v>11135</v>
      </c>
      <c r="H269" s="28">
        <v>11135</v>
      </c>
      <c r="I269" s="28">
        <v>11135</v>
      </c>
      <c r="J269" s="110" t="s">
        <v>142</v>
      </c>
    </row>
    <row r="270" spans="1:10" x14ac:dyDescent="0.3">
      <c r="A270" s="110" t="str">
        <f t="shared" ref="A270:A333" si="19">"B000"</f>
        <v>B000</v>
      </c>
      <c r="B270" s="110" t="str">
        <f t="shared" ref="B270:B333" si="20">"000"</f>
        <v>000</v>
      </c>
      <c r="C270" s="110" t="str">
        <f t="shared" si="18"/>
        <v>23</v>
      </c>
      <c r="D270" s="110" t="str">
        <f>"7200"</f>
        <v>7200</v>
      </c>
      <c r="E270" s="110" t="s">
        <v>239</v>
      </c>
      <c r="F270" s="110">
        <v>0</v>
      </c>
      <c r="G270" s="110">
        <v>0</v>
      </c>
      <c r="H270" s="110">
        <v>0</v>
      </c>
      <c r="I270" s="110">
        <v>0</v>
      </c>
      <c r="J270" s="110" t="s">
        <v>142</v>
      </c>
    </row>
    <row r="271" spans="1:10" x14ac:dyDescent="0.3">
      <c r="A271" s="110" t="str">
        <f t="shared" si="19"/>
        <v>B000</v>
      </c>
      <c r="B271" s="110" t="str">
        <f t="shared" si="20"/>
        <v>000</v>
      </c>
      <c r="C271" s="110" t="str">
        <f t="shared" si="18"/>
        <v>23</v>
      </c>
      <c r="D271" s="110" t="str">
        <f>"7255"</f>
        <v>7255</v>
      </c>
      <c r="E271" s="110" t="s">
        <v>178</v>
      </c>
      <c r="F271" s="110">
        <v>212</v>
      </c>
      <c r="G271" s="110">
        <v>248</v>
      </c>
      <c r="H271" s="110">
        <v>212</v>
      </c>
      <c r="I271" s="110">
        <v>212</v>
      </c>
      <c r="J271" s="110" t="s">
        <v>175</v>
      </c>
    </row>
    <row r="272" spans="1:10" x14ac:dyDescent="0.3">
      <c r="A272" s="110" t="str">
        <f t="shared" si="19"/>
        <v>B000</v>
      </c>
      <c r="B272" s="110" t="str">
        <f t="shared" si="20"/>
        <v>000</v>
      </c>
      <c r="C272" s="110" t="str">
        <f t="shared" si="18"/>
        <v>23</v>
      </c>
      <c r="D272" s="110" t="str">
        <f>"7285"</f>
        <v>7285</v>
      </c>
      <c r="E272" s="110" t="s">
        <v>7</v>
      </c>
      <c r="F272" s="110">
        <v>49</v>
      </c>
      <c r="G272" s="110">
        <v>49</v>
      </c>
      <c r="H272" s="110">
        <v>49</v>
      </c>
      <c r="I272" s="110">
        <v>49</v>
      </c>
      <c r="J272" s="110" t="s">
        <v>142</v>
      </c>
    </row>
    <row r="273" spans="1:10" x14ac:dyDescent="0.3">
      <c r="A273" s="110" t="str">
        <f t="shared" si="19"/>
        <v>B000</v>
      </c>
      <c r="B273" s="110" t="str">
        <f t="shared" si="20"/>
        <v>000</v>
      </c>
      <c r="C273" s="110" t="str">
        <f t="shared" si="18"/>
        <v>23</v>
      </c>
      <c r="D273" s="110" t="str">
        <f>"7289"</f>
        <v>7289</v>
      </c>
      <c r="E273" s="110" t="s">
        <v>452</v>
      </c>
      <c r="F273" s="28">
        <v>1197</v>
      </c>
      <c r="G273" s="28">
        <v>1085</v>
      </c>
      <c r="H273" s="28">
        <v>1197</v>
      </c>
      <c r="I273" s="28">
        <v>1197</v>
      </c>
      <c r="J273" s="110" t="s">
        <v>179</v>
      </c>
    </row>
    <row r="274" spans="1:10" x14ac:dyDescent="0.3">
      <c r="A274" s="110" t="str">
        <f t="shared" si="19"/>
        <v>B000</v>
      </c>
      <c r="B274" s="110" t="str">
        <f t="shared" si="20"/>
        <v>000</v>
      </c>
      <c r="C274" s="110" t="str">
        <f t="shared" si="18"/>
        <v>23</v>
      </c>
      <c r="D274" s="110" t="str">
        <f>"7290"</f>
        <v>7290</v>
      </c>
      <c r="E274" s="110" t="s">
        <v>0</v>
      </c>
      <c r="F274" s="110">
        <v>0</v>
      </c>
      <c r="G274" s="110">
        <v>0</v>
      </c>
      <c r="H274" s="110">
        <v>0</v>
      </c>
      <c r="I274" s="110">
        <v>0</v>
      </c>
      <c r="J274" s="110" t="s">
        <v>142</v>
      </c>
    </row>
    <row r="275" spans="1:10" x14ac:dyDescent="0.3">
      <c r="A275" s="110" t="str">
        <f t="shared" si="19"/>
        <v>B000</v>
      </c>
      <c r="B275" s="110" t="str">
        <f t="shared" si="20"/>
        <v>000</v>
      </c>
      <c r="C275" s="110" t="str">
        <f t="shared" si="18"/>
        <v>23</v>
      </c>
      <c r="D275" s="110" t="str">
        <f>"7291"</f>
        <v>7291</v>
      </c>
      <c r="E275" s="110" t="s">
        <v>195</v>
      </c>
      <c r="F275" s="28">
        <v>2060</v>
      </c>
      <c r="G275" s="28">
        <v>2060</v>
      </c>
      <c r="H275" s="28">
        <v>2060</v>
      </c>
      <c r="I275" s="28">
        <v>2060</v>
      </c>
      <c r="J275" s="110" t="s">
        <v>142</v>
      </c>
    </row>
    <row r="276" spans="1:10" x14ac:dyDescent="0.3">
      <c r="A276" s="110" t="str">
        <f t="shared" si="19"/>
        <v>B000</v>
      </c>
      <c r="B276" s="110" t="str">
        <f t="shared" si="20"/>
        <v>000</v>
      </c>
      <c r="C276" s="110" t="str">
        <f t="shared" si="18"/>
        <v>23</v>
      </c>
      <c r="D276" s="110" t="str">
        <f>"7292"</f>
        <v>7292</v>
      </c>
      <c r="E276" s="110" t="s">
        <v>449</v>
      </c>
      <c r="F276" s="110">
        <v>0</v>
      </c>
      <c r="G276" s="110">
        <v>0</v>
      </c>
      <c r="H276" s="110">
        <v>0</v>
      </c>
      <c r="I276" s="110">
        <v>0</v>
      </c>
      <c r="J276" s="110" t="s">
        <v>179</v>
      </c>
    </row>
    <row r="277" spans="1:10" x14ac:dyDescent="0.3">
      <c r="A277" s="110" t="str">
        <f t="shared" si="19"/>
        <v>B000</v>
      </c>
      <c r="B277" s="110" t="str">
        <f t="shared" si="20"/>
        <v>000</v>
      </c>
      <c r="C277" s="110" t="str">
        <f t="shared" si="18"/>
        <v>23</v>
      </c>
      <c r="D277" s="110" t="str">
        <f>"7294"</f>
        <v>7294</v>
      </c>
      <c r="E277" s="110" t="s">
        <v>6</v>
      </c>
      <c r="F277" s="110">
        <v>793</v>
      </c>
      <c r="G277" s="110">
        <v>793</v>
      </c>
      <c r="H277" s="110">
        <v>793</v>
      </c>
      <c r="I277" s="110">
        <v>793</v>
      </c>
      <c r="J277" s="110" t="s">
        <v>142</v>
      </c>
    </row>
    <row r="278" spans="1:10" x14ac:dyDescent="0.3">
      <c r="A278" s="110" t="str">
        <f t="shared" si="19"/>
        <v>B000</v>
      </c>
      <c r="B278" s="110" t="str">
        <f t="shared" si="20"/>
        <v>000</v>
      </c>
      <c r="C278" s="110" t="str">
        <f t="shared" si="18"/>
        <v>23</v>
      </c>
      <c r="D278" s="110" t="str">
        <f>"7295"</f>
        <v>7295</v>
      </c>
      <c r="E278" s="110" t="s">
        <v>450</v>
      </c>
      <c r="F278" s="110">
        <v>0</v>
      </c>
      <c r="G278" s="110">
        <v>0</v>
      </c>
      <c r="H278" s="110">
        <v>0</v>
      </c>
      <c r="I278" s="110">
        <v>0</v>
      </c>
      <c r="J278" s="110" t="s">
        <v>179</v>
      </c>
    </row>
    <row r="279" spans="1:10" x14ac:dyDescent="0.3">
      <c r="A279" s="110" t="str">
        <f t="shared" si="19"/>
        <v>B000</v>
      </c>
      <c r="B279" s="110" t="str">
        <f t="shared" si="20"/>
        <v>000</v>
      </c>
      <c r="C279" s="110" t="str">
        <f t="shared" si="18"/>
        <v>23</v>
      </c>
      <c r="D279" s="110" t="str">
        <f>"7296"</f>
        <v>7296</v>
      </c>
      <c r="E279" s="110" t="s">
        <v>196</v>
      </c>
      <c r="F279" s="110">
        <v>147</v>
      </c>
      <c r="G279" s="110">
        <v>147</v>
      </c>
      <c r="H279" s="110">
        <v>147</v>
      </c>
      <c r="I279" s="110">
        <v>147</v>
      </c>
      <c r="J279" s="110" t="s">
        <v>142</v>
      </c>
    </row>
    <row r="280" spans="1:10" x14ac:dyDescent="0.3">
      <c r="A280" s="110" t="str">
        <f t="shared" si="19"/>
        <v>B000</v>
      </c>
      <c r="B280" s="110" t="str">
        <f t="shared" si="20"/>
        <v>000</v>
      </c>
      <c r="C280" s="110" t="str">
        <f t="shared" si="18"/>
        <v>23</v>
      </c>
      <c r="D280" s="110" t="str">
        <f>"7299"</f>
        <v>7299</v>
      </c>
      <c r="E280" s="110" t="s">
        <v>226</v>
      </c>
      <c r="F280" s="110">
        <v>0</v>
      </c>
      <c r="G280" s="110">
        <v>0</v>
      </c>
      <c r="H280" s="110">
        <v>0</v>
      </c>
      <c r="I280" s="110">
        <v>0</v>
      </c>
      <c r="J280" s="110" t="s">
        <v>142</v>
      </c>
    </row>
    <row r="281" spans="1:10" x14ac:dyDescent="0.3">
      <c r="A281" s="110" t="str">
        <f t="shared" si="19"/>
        <v>B000</v>
      </c>
      <c r="B281" s="110" t="str">
        <f t="shared" si="20"/>
        <v>000</v>
      </c>
      <c r="C281" s="110" t="str">
        <f t="shared" si="18"/>
        <v>23</v>
      </c>
      <c r="D281" s="110" t="str">
        <f>"7302"</f>
        <v>7302</v>
      </c>
      <c r="E281" s="110" t="s">
        <v>206</v>
      </c>
      <c r="F281" s="28">
        <v>2754</v>
      </c>
      <c r="G281" s="28">
        <v>2754</v>
      </c>
      <c r="H281" s="28">
        <v>2754</v>
      </c>
      <c r="I281" s="28">
        <v>2754</v>
      </c>
      <c r="J281" s="110" t="s">
        <v>192</v>
      </c>
    </row>
    <row r="282" spans="1:10" x14ac:dyDescent="0.3">
      <c r="A282" s="110" t="str">
        <f t="shared" si="19"/>
        <v>B000</v>
      </c>
      <c r="B282" s="110" t="str">
        <f t="shared" si="20"/>
        <v>000</v>
      </c>
      <c r="C282" s="110" t="str">
        <f t="shared" si="18"/>
        <v>23</v>
      </c>
      <c r="D282" s="110" t="str">
        <f>"7320"</f>
        <v>7320</v>
      </c>
      <c r="E282" s="110" t="s">
        <v>227</v>
      </c>
      <c r="F282" s="110">
        <v>0</v>
      </c>
      <c r="G282" s="110">
        <v>0</v>
      </c>
      <c r="H282" s="110">
        <v>0</v>
      </c>
      <c r="I282" s="110">
        <v>0</v>
      </c>
      <c r="J282" s="110" t="s">
        <v>142</v>
      </c>
    </row>
    <row r="283" spans="1:10" x14ac:dyDescent="0.3">
      <c r="A283" s="110" t="str">
        <f t="shared" si="19"/>
        <v>B000</v>
      </c>
      <c r="B283" s="110" t="str">
        <f t="shared" si="20"/>
        <v>000</v>
      </c>
      <c r="C283" s="110" t="str">
        <f t="shared" si="18"/>
        <v>23</v>
      </c>
      <c r="D283" s="110" t="str">
        <f>"7370"</f>
        <v>7370</v>
      </c>
      <c r="E283" s="110" t="s">
        <v>198</v>
      </c>
      <c r="F283" s="110">
        <v>300</v>
      </c>
      <c r="G283" s="110">
        <v>300</v>
      </c>
      <c r="H283" s="110">
        <v>300</v>
      </c>
      <c r="I283" s="110">
        <v>300</v>
      </c>
      <c r="J283" s="110" t="s">
        <v>192</v>
      </c>
    </row>
    <row r="284" spans="1:10" x14ac:dyDescent="0.3">
      <c r="A284" s="110" t="str">
        <f t="shared" si="19"/>
        <v>B000</v>
      </c>
      <c r="B284" s="110" t="str">
        <f t="shared" si="20"/>
        <v>000</v>
      </c>
      <c r="C284" s="110" t="str">
        <f t="shared" si="18"/>
        <v>23</v>
      </c>
      <c r="D284" s="110" t="str">
        <f>"7398"</f>
        <v>7398</v>
      </c>
      <c r="E284" s="110" t="s">
        <v>199</v>
      </c>
      <c r="F284" s="28">
        <v>62051</v>
      </c>
      <c r="G284" s="28">
        <v>63511</v>
      </c>
      <c r="H284" s="28">
        <v>62051</v>
      </c>
      <c r="I284" s="28">
        <v>62051</v>
      </c>
      <c r="J284" s="110" t="s">
        <v>200</v>
      </c>
    </row>
    <row r="285" spans="1:10" x14ac:dyDescent="0.3">
      <c r="A285" s="110" t="str">
        <f t="shared" si="19"/>
        <v>B000</v>
      </c>
      <c r="B285" s="110" t="str">
        <f t="shared" si="20"/>
        <v>000</v>
      </c>
      <c r="C285" s="110" t="str">
        <f t="shared" si="18"/>
        <v>23</v>
      </c>
      <c r="D285" s="110" t="str">
        <f>"7430"</f>
        <v>7430</v>
      </c>
      <c r="E285" s="110" t="s">
        <v>462</v>
      </c>
      <c r="F285" s="110">
        <v>122</v>
      </c>
      <c r="G285" s="110">
        <v>122</v>
      </c>
      <c r="H285" s="110">
        <v>122</v>
      </c>
      <c r="I285" s="110">
        <v>122</v>
      </c>
      <c r="J285" s="110" t="s">
        <v>192</v>
      </c>
    </row>
    <row r="286" spans="1:10" x14ac:dyDescent="0.3">
      <c r="A286" s="110" t="str">
        <f t="shared" si="19"/>
        <v>B000</v>
      </c>
      <c r="B286" s="110" t="str">
        <f t="shared" si="20"/>
        <v>000</v>
      </c>
      <c r="C286" s="110" t="str">
        <f t="shared" si="18"/>
        <v>23</v>
      </c>
      <c r="D286" s="110" t="str">
        <f>"7460"</f>
        <v>7460</v>
      </c>
      <c r="E286" s="110" t="s">
        <v>228</v>
      </c>
      <c r="F286" s="110">
        <v>805</v>
      </c>
      <c r="G286" s="110">
        <v>805</v>
      </c>
      <c r="H286" s="110">
        <v>805</v>
      </c>
      <c r="I286" s="110">
        <v>805</v>
      </c>
      <c r="J286" s="110" t="s">
        <v>203</v>
      </c>
    </row>
    <row r="287" spans="1:10" x14ac:dyDescent="0.3">
      <c r="A287" s="110" t="str">
        <f t="shared" si="19"/>
        <v>B000</v>
      </c>
      <c r="B287" s="110" t="str">
        <f t="shared" si="20"/>
        <v>000</v>
      </c>
      <c r="C287" s="110" t="str">
        <f t="shared" si="18"/>
        <v>23</v>
      </c>
      <c r="D287" s="110" t="str">
        <f>"7528"</f>
        <v>7528</v>
      </c>
      <c r="E287" s="110" t="s">
        <v>464</v>
      </c>
      <c r="F287" s="110">
        <v>0</v>
      </c>
      <c r="G287" s="110">
        <v>0</v>
      </c>
      <c r="H287" s="110">
        <v>0</v>
      </c>
      <c r="I287" s="110">
        <v>0</v>
      </c>
      <c r="J287" s="110" t="s">
        <v>179</v>
      </c>
    </row>
    <row r="288" spans="1:10" x14ac:dyDescent="0.3">
      <c r="A288" s="110" t="str">
        <f t="shared" si="19"/>
        <v>B000</v>
      </c>
      <c r="B288" s="110" t="str">
        <f t="shared" si="20"/>
        <v>000</v>
      </c>
      <c r="C288" s="110" t="str">
        <f t="shared" si="18"/>
        <v>23</v>
      </c>
      <c r="D288" s="110" t="str">
        <f>"7531"</f>
        <v>7531</v>
      </c>
      <c r="E288" s="110" t="s">
        <v>465</v>
      </c>
      <c r="F288" s="110">
        <v>9</v>
      </c>
      <c r="G288" s="110">
        <v>9</v>
      </c>
      <c r="H288" s="110">
        <v>9</v>
      </c>
      <c r="I288" s="110">
        <v>9</v>
      </c>
      <c r="J288" s="110" t="s">
        <v>179</v>
      </c>
    </row>
    <row r="289" spans="1:10" x14ac:dyDescent="0.3">
      <c r="A289" s="110" t="str">
        <f t="shared" si="19"/>
        <v>B000</v>
      </c>
      <c r="B289" s="110" t="str">
        <f t="shared" si="20"/>
        <v>000</v>
      </c>
      <c r="C289" s="110" t="str">
        <f t="shared" si="18"/>
        <v>23</v>
      </c>
      <c r="D289" s="110" t="str">
        <f>"7532"</f>
        <v>7532</v>
      </c>
      <c r="E289" s="110" t="s">
        <v>466</v>
      </c>
      <c r="F289" s="110">
        <v>0</v>
      </c>
      <c r="G289" s="110">
        <v>0</v>
      </c>
      <c r="H289" s="110">
        <v>0</v>
      </c>
      <c r="I289" s="110">
        <v>0</v>
      </c>
      <c r="J289" s="110" t="s">
        <v>229</v>
      </c>
    </row>
    <row r="290" spans="1:10" x14ac:dyDescent="0.3">
      <c r="A290" s="110" t="str">
        <f t="shared" si="19"/>
        <v>B000</v>
      </c>
      <c r="B290" s="110" t="str">
        <f t="shared" si="20"/>
        <v>000</v>
      </c>
      <c r="C290" s="110" t="str">
        <f t="shared" si="18"/>
        <v>23</v>
      </c>
      <c r="D290" s="110" t="str">
        <f>"7533"</f>
        <v>7533</v>
      </c>
      <c r="E290" s="110" t="s">
        <v>201</v>
      </c>
      <c r="F290" s="110">
        <v>909</v>
      </c>
      <c r="G290" s="110">
        <v>908</v>
      </c>
      <c r="H290" s="110">
        <v>909</v>
      </c>
      <c r="I290" s="110">
        <v>909</v>
      </c>
      <c r="J290" s="110" t="s">
        <v>179</v>
      </c>
    </row>
    <row r="291" spans="1:10" x14ac:dyDescent="0.3">
      <c r="A291" s="110" t="str">
        <f t="shared" si="19"/>
        <v>B000</v>
      </c>
      <c r="B291" s="110" t="str">
        <f t="shared" si="20"/>
        <v>000</v>
      </c>
      <c r="C291" s="110" t="str">
        <f t="shared" si="18"/>
        <v>23</v>
      </c>
      <c r="D291" s="110" t="str">
        <f>"7535"</f>
        <v>7535</v>
      </c>
      <c r="E291" s="110" t="s">
        <v>230</v>
      </c>
      <c r="F291" s="110">
        <v>679</v>
      </c>
      <c r="G291" s="110">
        <v>679</v>
      </c>
      <c r="H291" s="110">
        <v>679</v>
      </c>
      <c r="I291" s="110">
        <v>679</v>
      </c>
      <c r="J291" s="110" t="s">
        <v>179</v>
      </c>
    </row>
    <row r="292" spans="1:10" x14ac:dyDescent="0.3">
      <c r="A292" s="110" t="str">
        <f t="shared" si="19"/>
        <v>B000</v>
      </c>
      <c r="B292" s="110" t="str">
        <f t="shared" si="20"/>
        <v>000</v>
      </c>
      <c r="C292" s="110" t="str">
        <f t="shared" si="18"/>
        <v>23</v>
      </c>
      <c r="D292" s="110" t="str">
        <f>"7536"</f>
        <v>7536</v>
      </c>
      <c r="E292" s="110" t="s">
        <v>231</v>
      </c>
      <c r="F292" s="28">
        <v>1082</v>
      </c>
      <c r="G292" s="28">
        <v>1082</v>
      </c>
      <c r="H292" s="28">
        <v>1082</v>
      </c>
      <c r="I292" s="28">
        <v>1082</v>
      </c>
      <c r="J292" s="110" t="s">
        <v>179</v>
      </c>
    </row>
    <row r="293" spans="1:10" x14ac:dyDescent="0.3">
      <c r="A293" s="110" t="str">
        <f t="shared" si="19"/>
        <v>B000</v>
      </c>
      <c r="B293" s="110" t="str">
        <f t="shared" si="20"/>
        <v>000</v>
      </c>
      <c r="C293" s="110" t="str">
        <f t="shared" si="18"/>
        <v>23</v>
      </c>
      <c r="D293" s="110" t="str">
        <f>"7545"</f>
        <v>7545</v>
      </c>
      <c r="E293" s="110" t="s">
        <v>453</v>
      </c>
      <c r="F293" s="110">
        <v>0</v>
      </c>
      <c r="G293" s="110">
        <v>0</v>
      </c>
      <c r="H293" s="110">
        <v>0</v>
      </c>
      <c r="I293" s="110">
        <v>0</v>
      </c>
      <c r="J293" s="110" t="s">
        <v>179</v>
      </c>
    </row>
    <row r="294" spans="1:10" x14ac:dyDescent="0.3">
      <c r="A294" s="110" t="str">
        <f t="shared" si="19"/>
        <v>B000</v>
      </c>
      <c r="B294" s="110" t="str">
        <f t="shared" si="20"/>
        <v>000</v>
      </c>
      <c r="C294" s="110" t="str">
        <f t="shared" si="18"/>
        <v>23</v>
      </c>
      <c r="D294" s="110" t="str">
        <f>"7548"</f>
        <v>7548</v>
      </c>
      <c r="E294" s="110" t="s">
        <v>467</v>
      </c>
      <c r="F294" s="28">
        <v>2930</v>
      </c>
      <c r="G294" s="28">
        <v>2930</v>
      </c>
      <c r="H294" s="28">
        <v>2930</v>
      </c>
      <c r="I294" s="28">
        <v>2930</v>
      </c>
      <c r="J294" s="110" t="s">
        <v>179</v>
      </c>
    </row>
    <row r="295" spans="1:10" x14ac:dyDescent="0.3">
      <c r="A295" s="110" t="str">
        <f t="shared" si="19"/>
        <v>B000</v>
      </c>
      <c r="B295" s="110" t="str">
        <f t="shared" si="20"/>
        <v>000</v>
      </c>
      <c r="C295" s="110" t="str">
        <f t="shared" si="18"/>
        <v>23</v>
      </c>
      <c r="D295" s="110" t="str">
        <f>"7550"</f>
        <v>7550</v>
      </c>
      <c r="E295" s="110" t="s">
        <v>232</v>
      </c>
      <c r="F295" s="110">
        <v>640</v>
      </c>
      <c r="G295" s="110">
        <v>640</v>
      </c>
      <c r="H295" s="110">
        <v>640</v>
      </c>
      <c r="I295" s="110">
        <v>640</v>
      </c>
      <c r="J295" s="110" t="s">
        <v>179</v>
      </c>
    </row>
    <row r="296" spans="1:10" x14ac:dyDescent="0.3">
      <c r="A296" s="110" t="str">
        <f t="shared" si="19"/>
        <v>B000</v>
      </c>
      <c r="B296" s="110" t="str">
        <f t="shared" si="20"/>
        <v>000</v>
      </c>
      <c r="C296" s="110" t="str">
        <f t="shared" si="18"/>
        <v>23</v>
      </c>
      <c r="D296" s="110" t="str">
        <f>"7558"</f>
        <v>7558</v>
      </c>
      <c r="E296" s="110" t="s">
        <v>468</v>
      </c>
      <c r="F296" s="110">
        <v>0</v>
      </c>
      <c r="G296" s="110">
        <v>0</v>
      </c>
      <c r="H296" s="110">
        <v>0</v>
      </c>
      <c r="I296" s="110">
        <v>0</v>
      </c>
      <c r="J296" s="110" t="s">
        <v>179</v>
      </c>
    </row>
    <row r="297" spans="1:10" x14ac:dyDescent="0.3">
      <c r="A297" s="110" t="str">
        <f t="shared" si="19"/>
        <v>B000</v>
      </c>
      <c r="B297" s="110" t="str">
        <f t="shared" si="20"/>
        <v>000</v>
      </c>
      <c r="C297" s="110" t="str">
        <f t="shared" si="18"/>
        <v>23</v>
      </c>
      <c r="D297" s="110" t="str">
        <f>"7770"</f>
        <v>7770</v>
      </c>
      <c r="E297" s="110" t="s">
        <v>212</v>
      </c>
      <c r="F297" s="110">
        <v>0</v>
      </c>
      <c r="G297" s="110">
        <v>0</v>
      </c>
      <c r="H297" s="110">
        <v>0</v>
      </c>
      <c r="I297" s="110">
        <v>0</v>
      </c>
      <c r="J297" s="110" t="s">
        <v>203</v>
      </c>
    </row>
    <row r="298" spans="1:10" x14ac:dyDescent="0.3">
      <c r="A298" s="110" t="str">
        <f t="shared" si="19"/>
        <v>B000</v>
      </c>
      <c r="B298" s="110" t="str">
        <f t="shared" si="20"/>
        <v>000</v>
      </c>
      <c r="C298" s="110" t="str">
        <f t="shared" si="18"/>
        <v>23</v>
      </c>
      <c r="D298" s="110" t="str">
        <f>"7980"</f>
        <v>7980</v>
      </c>
      <c r="E298" s="110" t="s">
        <v>204</v>
      </c>
      <c r="F298" s="110">
        <v>619</v>
      </c>
      <c r="G298" s="110">
        <v>619</v>
      </c>
      <c r="H298" s="110">
        <v>619</v>
      </c>
      <c r="I298" s="110">
        <v>619</v>
      </c>
      <c r="J298" s="110" t="s">
        <v>192</v>
      </c>
    </row>
    <row r="299" spans="1:10" x14ac:dyDescent="0.3">
      <c r="A299" s="110" t="str">
        <f t="shared" si="19"/>
        <v>B000</v>
      </c>
      <c r="B299" s="110" t="str">
        <f t="shared" si="20"/>
        <v>000</v>
      </c>
      <c r="C299" s="110" t="str">
        <f t="shared" si="18"/>
        <v>23</v>
      </c>
      <c r="D299" s="110" t="str">
        <f>"8501"</f>
        <v>8501</v>
      </c>
      <c r="E299" s="110" t="s">
        <v>214</v>
      </c>
      <c r="F299" s="28">
        <v>237826</v>
      </c>
      <c r="G299" s="28">
        <v>240449</v>
      </c>
      <c r="H299" s="28">
        <v>237826</v>
      </c>
      <c r="I299" s="28">
        <v>237826</v>
      </c>
      <c r="J299" s="110" t="s">
        <v>142</v>
      </c>
    </row>
    <row r="300" spans="1:10" x14ac:dyDescent="0.3">
      <c r="A300" s="110" t="str">
        <f t="shared" si="19"/>
        <v>B000</v>
      </c>
      <c r="B300" s="110" t="str">
        <f t="shared" si="20"/>
        <v>000</v>
      </c>
      <c r="C300" s="110" t="str">
        <f t="shared" si="18"/>
        <v>23</v>
      </c>
      <c r="D300" s="110" t="str">
        <f>"8503"</f>
        <v>8503</v>
      </c>
      <c r="E300" s="110" t="s">
        <v>233</v>
      </c>
      <c r="F300" s="28">
        <v>696168</v>
      </c>
      <c r="G300" s="28">
        <v>691533</v>
      </c>
      <c r="H300" s="28">
        <v>696168</v>
      </c>
      <c r="I300" s="28">
        <v>696168</v>
      </c>
      <c r="J300" s="110" t="s">
        <v>142</v>
      </c>
    </row>
    <row r="301" spans="1:10" x14ac:dyDescent="0.3">
      <c r="A301" s="110" t="str">
        <f t="shared" si="19"/>
        <v>B000</v>
      </c>
      <c r="B301" s="110" t="str">
        <f t="shared" si="20"/>
        <v>000</v>
      </c>
      <c r="C301" s="110" t="str">
        <f t="shared" si="18"/>
        <v>23</v>
      </c>
      <c r="D301" s="110" t="str">
        <f>"8516"</f>
        <v>8516</v>
      </c>
      <c r="E301" s="110" t="s">
        <v>234</v>
      </c>
      <c r="F301" s="28">
        <v>244554</v>
      </c>
      <c r="G301" s="28">
        <v>244256</v>
      </c>
      <c r="H301" s="28">
        <v>244554</v>
      </c>
      <c r="I301" s="28">
        <v>244554</v>
      </c>
      <c r="J301" s="110" t="s">
        <v>142</v>
      </c>
    </row>
    <row r="302" spans="1:10" x14ac:dyDescent="0.3">
      <c r="A302" s="110" t="str">
        <f t="shared" si="19"/>
        <v>B000</v>
      </c>
      <c r="B302" s="110" t="str">
        <f t="shared" si="20"/>
        <v>000</v>
      </c>
      <c r="C302" s="110" t="str">
        <f t="shared" ref="C302:C305" si="21">"23"</f>
        <v>23</v>
      </c>
      <c r="D302" s="110" t="str">
        <f>"8550"</f>
        <v>8550</v>
      </c>
      <c r="E302" s="110" t="s">
        <v>235</v>
      </c>
      <c r="F302" s="28">
        <v>14261</v>
      </c>
      <c r="G302" s="28">
        <v>6384</v>
      </c>
      <c r="H302" s="28">
        <v>14261</v>
      </c>
      <c r="I302" s="28">
        <v>14261</v>
      </c>
      <c r="J302" s="110" t="s">
        <v>142</v>
      </c>
    </row>
    <row r="303" spans="1:10" x14ac:dyDescent="0.3">
      <c r="A303" s="110" t="str">
        <f t="shared" si="19"/>
        <v>B000</v>
      </c>
      <c r="B303" s="110" t="str">
        <f t="shared" si="20"/>
        <v>000</v>
      </c>
      <c r="C303" s="110" t="str">
        <f t="shared" si="21"/>
        <v>23</v>
      </c>
      <c r="D303" s="110" t="str">
        <f>"8780"</f>
        <v>8780</v>
      </c>
      <c r="E303" s="110" t="s">
        <v>236</v>
      </c>
      <c r="F303" s="28">
        <v>155011</v>
      </c>
      <c r="G303" s="28">
        <v>155011</v>
      </c>
      <c r="H303" s="28">
        <v>155011</v>
      </c>
      <c r="I303" s="28">
        <v>155011</v>
      </c>
      <c r="J303" s="110" t="s">
        <v>142</v>
      </c>
    </row>
    <row r="304" spans="1:10" x14ac:dyDescent="0.3">
      <c r="A304" s="110" t="str">
        <f t="shared" si="19"/>
        <v>B000</v>
      </c>
      <c r="B304" s="110" t="str">
        <f t="shared" si="20"/>
        <v>000</v>
      </c>
      <c r="C304" s="110" t="str">
        <f t="shared" si="21"/>
        <v>23</v>
      </c>
      <c r="D304" s="110" t="str">
        <f>"8785"</f>
        <v>8785</v>
      </c>
      <c r="E304" s="110" t="s">
        <v>240</v>
      </c>
      <c r="F304" s="28">
        <v>5691</v>
      </c>
      <c r="G304" s="110">
        <v>916</v>
      </c>
      <c r="H304" s="28">
        <v>5691</v>
      </c>
      <c r="I304" s="28">
        <v>5691</v>
      </c>
      <c r="J304" s="110" t="s">
        <v>142</v>
      </c>
    </row>
    <row r="305" spans="1:10" x14ac:dyDescent="0.3">
      <c r="A305" s="110" t="str">
        <f t="shared" si="19"/>
        <v>B000</v>
      </c>
      <c r="B305" s="110" t="str">
        <f t="shared" si="20"/>
        <v>000</v>
      </c>
      <c r="C305" s="110" t="str">
        <f t="shared" si="21"/>
        <v>23</v>
      </c>
      <c r="D305" s="110" t="str">
        <f>"9043"</f>
        <v>9043</v>
      </c>
      <c r="E305" s="110" t="s">
        <v>237</v>
      </c>
      <c r="F305" s="28">
        <v>20864</v>
      </c>
      <c r="G305" s="28">
        <v>20864</v>
      </c>
      <c r="H305" s="28">
        <v>20864</v>
      </c>
      <c r="I305" s="28">
        <v>20864</v>
      </c>
      <c r="J305" s="110" t="s">
        <v>142</v>
      </c>
    </row>
    <row r="306" spans="1:10" x14ac:dyDescent="0.3">
      <c r="A306" s="110" t="str">
        <f t="shared" si="19"/>
        <v>B000</v>
      </c>
      <c r="B306" s="110" t="str">
        <f t="shared" si="20"/>
        <v>000</v>
      </c>
      <c r="C306" s="110" t="str">
        <f t="shared" ref="C306:C329" si="22">"24"</f>
        <v>24</v>
      </c>
      <c r="D306" s="110" t="str">
        <f>"6200"</f>
        <v>6200</v>
      </c>
      <c r="E306" s="110" t="s">
        <v>169</v>
      </c>
      <c r="F306" s="110">
        <v>0</v>
      </c>
      <c r="G306" s="110">
        <v>0</v>
      </c>
      <c r="H306" s="110">
        <v>0</v>
      </c>
      <c r="I306" s="110">
        <v>0</v>
      </c>
      <c r="J306" s="110" t="s">
        <v>142</v>
      </c>
    </row>
    <row r="307" spans="1:10" x14ac:dyDescent="0.3">
      <c r="A307" s="110" t="str">
        <f t="shared" si="19"/>
        <v>B000</v>
      </c>
      <c r="B307" s="110" t="str">
        <f t="shared" si="20"/>
        <v>000</v>
      </c>
      <c r="C307" s="110" t="str">
        <f t="shared" si="22"/>
        <v>24</v>
      </c>
      <c r="D307" s="110" t="str">
        <f>"6210"</f>
        <v>6210</v>
      </c>
      <c r="E307" s="110" t="s">
        <v>185</v>
      </c>
      <c r="F307" s="110">
        <v>0</v>
      </c>
      <c r="G307" s="110">
        <v>0</v>
      </c>
      <c r="H307" s="110">
        <v>0</v>
      </c>
      <c r="I307" s="110">
        <v>0</v>
      </c>
      <c r="J307" s="110" t="s">
        <v>142</v>
      </c>
    </row>
    <row r="308" spans="1:10" x14ac:dyDescent="0.3">
      <c r="A308" s="110" t="str">
        <f t="shared" si="19"/>
        <v>B000</v>
      </c>
      <c r="B308" s="110" t="str">
        <f t="shared" si="20"/>
        <v>000</v>
      </c>
      <c r="C308" s="110" t="str">
        <f t="shared" si="22"/>
        <v>24</v>
      </c>
      <c r="D308" s="110" t="str">
        <f>"6215"</f>
        <v>6215</v>
      </c>
      <c r="E308" s="110" t="s">
        <v>186</v>
      </c>
      <c r="F308" s="110">
        <v>0</v>
      </c>
      <c r="G308" s="110">
        <v>0</v>
      </c>
      <c r="H308" s="110">
        <v>0</v>
      </c>
      <c r="I308" s="110">
        <v>0</v>
      </c>
      <c r="J308" s="110" t="s">
        <v>142</v>
      </c>
    </row>
    <row r="309" spans="1:10" x14ac:dyDescent="0.3">
      <c r="A309" s="110" t="str">
        <f t="shared" si="19"/>
        <v>B000</v>
      </c>
      <c r="B309" s="110" t="str">
        <f t="shared" si="20"/>
        <v>000</v>
      </c>
      <c r="C309" s="110" t="str">
        <f t="shared" si="22"/>
        <v>24</v>
      </c>
      <c r="D309" s="110" t="str">
        <f>"6240"</f>
        <v>6240</v>
      </c>
      <c r="E309" s="110" t="s">
        <v>170</v>
      </c>
      <c r="F309" s="110">
        <v>0</v>
      </c>
      <c r="G309" s="110">
        <v>0</v>
      </c>
      <c r="H309" s="110">
        <v>0</v>
      </c>
      <c r="I309" s="110">
        <v>0</v>
      </c>
      <c r="J309" s="110" t="s">
        <v>142</v>
      </c>
    </row>
    <row r="310" spans="1:10" x14ac:dyDescent="0.3">
      <c r="A310" s="110" t="str">
        <f t="shared" si="19"/>
        <v>B000</v>
      </c>
      <c r="B310" s="110" t="str">
        <f t="shared" si="20"/>
        <v>000</v>
      </c>
      <c r="C310" s="110" t="str">
        <f t="shared" si="22"/>
        <v>24</v>
      </c>
      <c r="D310" s="110" t="str">
        <f>"6250"</f>
        <v>6250</v>
      </c>
      <c r="E310" s="110" t="s">
        <v>171</v>
      </c>
      <c r="F310" s="110">
        <v>0</v>
      </c>
      <c r="G310" s="110">
        <v>0</v>
      </c>
      <c r="H310" s="110">
        <v>0</v>
      </c>
      <c r="I310" s="110">
        <v>0</v>
      </c>
      <c r="J310" s="110" t="s">
        <v>142</v>
      </c>
    </row>
    <row r="311" spans="1:10" x14ac:dyDescent="0.3">
      <c r="A311" s="110" t="str">
        <f t="shared" si="19"/>
        <v>B000</v>
      </c>
      <c r="B311" s="110" t="str">
        <f t="shared" si="20"/>
        <v>000</v>
      </c>
      <c r="C311" s="110" t="str">
        <f t="shared" si="22"/>
        <v>24</v>
      </c>
      <c r="D311" s="110" t="str">
        <f>"7000"</f>
        <v>7000</v>
      </c>
      <c r="E311" s="110" t="s">
        <v>180</v>
      </c>
      <c r="F311" s="110">
        <v>0</v>
      </c>
      <c r="G311" s="110">
        <v>0</v>
      </c>
      <c r="H311" s="110">
        <v>0</v>
      </c>
      <c r="I311" s="110">
        <v>0</v>
      </c>
      <c r="J311" s="110" t="s">
        <v>142</v>
      </c>
    </row>
    <row r="312" spans="1:10" x14ac:dyDescent="0.3">
      <c r="A312" s="110" t="str">
        <f t="shared" si="19"/>
        <v>B000</v>
      </c>
      <c r="B312" s="110" t="str">
        <f t="shared" si="20"/>
        <v>000</v>
      </c>
      <c r="C312" s="110" t="str">
        <f t="shared" si="22"/>
        <v>24</v>
      </c>
      <c r="D312" s="110" t="str">
        <f>"7066"</f>
        <v>7066</v>
      </c>
      <c r="E312" s="110" t="s">
        <v>222</v>
      </c>
      <c r="F312" s="110">
        <v>0</v>
      </c>
      <c r="G312" s="110">
        <v>0</v>
      </c>
      <c r="H312" s="110">
        <v>0</v>
      </c>
      <c r="I312" s="110">
        <v>0</v>
      </c>
      <c r="J312" s="110" t="s">
        <v>192</v>
      </c>
    </row>
    <row r="313" spans="1:10" x14ac:dyDescent="0.3">
      <c r="A313" s="110" t="str">
        <f t="shared" si="19"/>
        <v>B000</v>
      </c>
      <c r="B313" s="110" t="str">
        <f t="shared" si="20"/>
        <v>000</v>
      </c>
      <c r="C313" s="110" t="str">
        <f t="shared" si="22"/>
        <v>24</v>
      </c>
      <c r="D313" s="110" t="str">
        <f>"7110"</f>
        <v>7110</v>
      </c>
      <c r="E313" s="110" t="s">
        <v>174</v>
      </c>
      <c r="F313" s="110">
        <v>0</v>
      </c>
      <c r="G313" s="110">
        <v>0</v>
      </c>
      <c r="H313" s="110">
        <v>0</v>
      </c>
      <c r="I313" s="110">
        <v>0</v>
      </c>
      <c r="J313" s="110" t="s">
        <v>175</v>
      </c>
    </row>
    <row r="314" spans="1:10" x14ac:dyDescent="0.3">
      <c r="A314" s="110" t="str">
        <f t="shared" si="19"/>
        <v>B000</v>
      </c>
      <c r="B314" s="110" t="str">
        <f t="shared" si="20"/>
        <v>000</v>
      </c>
      <c r="C314" s="110" t="str">
        <f t="shared" si="22"/>
        <v>24</v>
      </c>
      <c r="D314" s="110" t="str">
        <f>"7138"</f>
        <v>7138</v>
      </c>
      <c r="E314" s="110" t="s">
        <v>177</v>
      </c>
      <c r="F314" s="110">
        <v>0</v>
      </c>
      <c r="G314" s="110">
        <v>0</v>
      </c>
      <c r="H314" s="110">
        <v>0</v>
      </c>
      <c r="I314" s="110">
        <v>0</v>
      </c>
      <c r="J314" s="110" t="s">
        <v>142</v>
      </c>
    </row>
    <row r="315" spans="1:10" x14ac:dyDescent="0.3">
      <c r="A315" s="110" t="str">
        <f t="shared" si="19"/>
        <v>B000</v>
      </c>
      <c r="B315" s="110" t="str">
        <f t="shared" si="20"/>
        <v>000</v>
      </c>
      <c r="C315" s="110" t="str">
        <f t="shared" si="22"/>
        <v>24</v>
      </c>
      <c r="D315" s="110" t="str">
        <f>"7291"</f>
        <v>7291</v>
      </c>
      <c r="E315" s="110" t="s">
        <v>195</v>
      </c>
      <c r="F315" s="110">
        <v>0</v>
      </c>
      <c r="G315" s="110">
        <v>0</v>
      </c>
      <c r="H315" s="110">
        <v>0</v>
      </c>
      <c r="I315" s="110">
        <v>0</v>
      </c>
      <c r="J315" s="110" t="s">
        <v>142</v>
      </c>
    </row>
    <row r="316" spans="1:10" x14ac:dyDescent="0.3">
      <c r="A316" s="110" t="str">
        <f t="shared" si="19"/>
        <v>B000</v>
      </c>
      <c r="B316" s="110" t="str">
        <f t="shared" si="20"/>
        <v>000</v>
      </c>
      <c r="C316" s="110" t="str">
        <f t="shared" si="22"/>
        <v>24</v>
      </c>
      <c r="D316" s="110" t="str">
        <f>"7292"</f>
        <v>7292</v>
      </c>
      <c r="E316" s="110" t="s">
        <v>449</v>
      </c>
      <c r="F316" s="110">
        <v>0</v>
      </c>
      <c r="G316" s="110">
        <v>0</v>
      </c>
      <c r="H316" s="110">
        <v>0</v>
      </c>
      <c r="I316" s="110">
        <v>0</v>
      </c>
      <c r="J316" s="110" t="s">
        <v>179</v>
      </c>
    </row>
    <row r="317" spans="1:10" x14ac:dyDescent="0.3">
      <c r="A317" s="110" t="str">
        <f t="shared" si="19"/>
        <v>B000</v>
      </c>
      <c r="B317" s="110" t="str">
        <f t="shared" si="20"/>
        <v>000</v>
      </c>
      <c r="C317" s="110" t="str">
        <f t="shared" si="22"/>
        <v>24</v>
      </c>
      <c r="D317" s="110" t="str">
        <f>"7295"</f>
        <v>7295</v>
      </c>
      <c r="E317" s="110" t="s">
        <v>450</v>
      </c>
      <c r="F317" s="110">
        <v>0</v>
      </c>
      <c r="G317" s="110">
        <v>0</v>
      </c>
      <c r="H317" s="110">
        <v>0</v>
      </c>
      <c r="I317" s="110">
        <v>0</v>
      </c>
      <c r="J317" s="110" t="s">
        <v>179</v>
      </c>
    </row>
    <row r="318" spans="1:10" x14ac:dyDescent="0.3">
      <c r="A318" s="110" t="str">
        <f t="shared" si="19"/>
        <v>B000</v>
      </c>
      <c r="B318" s="110" t="str">
        <f t="shared" si="20"/>
        <v>000</v>
      </c>
      <c r="C318" s="110" t="str">
        <f t="shared" si="22"/>
        <v>24</v>
      </c>
      <c r="D318" s="110" t="str">
        <f>"7296"</f>
        <v>7296</v>
      </c>
      <c r="E318" s="110" t="s">
        <v>196</v>
      </c>
      <c r="F318" s="110">
        <v>0</v>
      </c>
      <c r="G318" s="110">
        <v>0</v>
      </c>
      <c r="H318" s="110">
        <v>0</v>
      </c>
      <c r="I318" s="110">
        <v>0</v>
      </c>
      <c r="J318" s="110" t="s">
        <v>142</v>
      </c>
    </row>
    <row r="319" spans="1:10" x14ac:dyDescent="0.3">
      <c r="A319" s="110" t="str">
        <f t="shared" si="19"/>
        <v>B000</v>
      </c>
      <c r="B319" s="110" t="str">
        <f t="shared" si="20"/>
        <v>000</v>
      </c>
      <c r="C319" s="110" t="str">
        <f t="shared" si="22"/>
        <v>24</v>
      </c>
      <c r="D319" s="110" t="str">
        <f>"7398"</f>
        <v>7398</v>
      </c>
      <c r="E319" s="110" t="s">
        <v>199</v>
      </c>
      <c r="F319" s="110">
        <v>0</v>
      </c>
      <c r="G319" s="110">
        <v>0</v>
      </c>
      <c r="H319" s="110">
        <v>0</v>
      </c>
      <c r="I319" s="110">
        <v>0</v>
      </c>
      <c r="J319" s="110" t="s">
        <v>200</v>
      </c>
    </row>
    <row r="320" spans="1:10" x14ac:dyDescent="0.3">
      <c r="A320" s="110" t="str">
        <f t="shared" si="19"/>
        <v>B000</v>
      </c>
      <c r="B320" s="110" t="str">
        <f t="shared" si="20"/>
        <v>000</v>
      </c>
      <c r="C320" s="110" t="str">
        <f t="shared" si="22"/>
        <v>24</v>
      </c>
      <c r="D320" s="110" t="str">
        <f>"7533"</f>
        <v>7533</v>
      </c>
      <c r="E320" s="110" t="s">
        <v>201</v>
      </c>
      <c r="F320" s="110">
        <v>0</v>
      </c>
      <c r="G320" s="110">
        <v>0</v>
      </c>
      <c r="H320" s="110">
        <v>0</v>
      </c>
      <c r="I320" s="110">
        <v>0</v>
      </c>
      <c r="J320" s="110" t="s">
        <v>179</v>
      </c>
    </row>
    <row r="321" spans="1:10" x14ac:dyDescent="0.3">
      <c r="A321" s="110" t="str">
        <f t="shared" si="19"/>
        <v>B000</v>
      </c>
      <c r="B321" s="110" t="str">
        <f t="shared" si="20"/>
        <v>000</v>
      </c>
      <c r="C321" s="110" t="str">
        <f t="shared" si="22"/>
        <v>24</v>
      </c>
      <c r="D321" s="110" t="str">
        <f>"7545"</f>
        <v>7545</v>
      </c>
      <c r="E321" s="110" t="s">
        <v>453</v>
      </c>
      <c r="F321" s="110">
        <v>0</v>
      </c>
      <c r="G321" s="110">
        <v>0</v>
      </c>
      <c r="H321" s="110">
        <v>0</v>
      </c>
      <c r="I321" s="110">
        <v>0</v>
      </c>
      <c r="J321" s="110" t="s">
        <v>179</v>
      </c>
    </row>
    <row r="322" spans="1:10" x14ac:dyDescent="0.3">
      <c r="A322" s="110" t="str">
        <f t="shared" si="19"/>
        <v>B000</v>
      </c>
      <c r="B322" s="110" t="str">
        <f t="shared" si="20"/>
        <v>000</v>
      </c>
      <c r="C322" s="110" t="str">
        <f t="shared" si="22"/>
        <v>24</v>
      </c>
      <c r="D322" s="110" t="str">
        <f>"8501"</f>
        <v>8501</v>
      </c>
      <c r="E322" s="110" t="s">
        <v>214</v>
      </c>
      <c r="F322" s="110">
        <v>0</v>
      </c>
      <c r="G322" s="110">
        <v>0</v>
      </c>
      <c r="H322" s="110">
        <v>0</v>
      </c>
      <c r="I322" s="110">
        <v>0</v>
      </c>
      <c r="J322" s="110" t="s">
        <v>142</v>
      </c>
    </row>
    <row r="323" spans="1:10" x14ac:dyDescent="0.3">
      <c r="A323" s="110" t="str">
        <f t="shared" si="19"/>
        <v>B000</v>
      </c>
      <c r="B323" s="110" t="str">
        <f t="shared" si="20"/>
        <v>000</v>
      </c>
      <c r="C323" s="110" t="str">
        <f t="shared" si="22"/>
        <v>24</v>
      </c>
      <c r="D323" s="110" t="str">
        <f>"8503"</f>
        <v>8503</v>
      </c>
      <c r="E323" s="110" t="s">
        <v>233</v>
      </c>
      <c r="F323" s="110">
        <v>0</v>
      </c>
      <c r="G323" s="110">
        <v>0</v>
      </c>
      <c r="H323" s="110">
        <v>0</v>
      </c>
      <c r="I323" s="110">
        <v>0</v>
      </c>
      <c r="J323" s="110" t="s">
        <v>142</v>
      </c>
    </row>
    <row r="324" spans="1:10" x14ac:dyDescent="0.3">
      <c r="A324" s="110" t="str">
        <f t="shared" si="19"/>
        <v>B000</v>
      </c>
      <c r="B324" s="110" t="str">
        <f t="shared" si="20"/>
        <v>000</v>
      </c>
      <c r="C324" s="110" t="str">
        <f t="shared" si="22"/>
        <v>24</v>
      </c>
      <c r="D324" s="110" t="str">
        <f>"8516"</f>
        <v>8516</v>
      </c>
      <c r="E324" s="110" t="s">
        <v>234</v>
      </c>
      <c r="F324" s="110">
        <v>0</v>
      </c>
      <c r="G324" s="110">
        <v>0</v>
      </c>
      <c r="H324" s="110">
        <v>0</v>
      </c>
      <c r="I324" s="110">
        <v>0</v>
      </c>
      <c r="J324" s="110" t="s">
        <v>142</v>
      </c>
    </row>
    <row r="325" spans="1:10" x14ac:dyDescent="0.3">
      <c r="A325" s="110" t="str">
        <f t="shared" si="19"/>
        <v>B000</v>
      </c>
      <c r="B325" s="110" t="str">
        <f t="shared" si="20"/>
        <v>000</v>
      </c>
      <c r="C325" s="110" t="str">
        <f t="shared" si="22"/>
        <v>24</v>
      </c>
      <c r="D325" s="110" t="str">
        <f>"8550"</f>
        <v>8550</v>
      </c>
      <c r="E325" s="110" t="s">
        <v>235</v>
      </c>
      <c r="F325" s="110">
        <v>0</v>
      </c>
      <c r="G325" s="110">
        <v>0</v>
      </c>
      <c r="H325" s="110">
        <v>0</v>
      </c>
      <c r="I325" s="110">
        <v>0</v>
      </c>
      <c r="J325" s="110" t="s">
        <v>142</v>
      </c>
    </row>
    <row r="326" spans="1:10" x14ac:dyDescent="0.3">
      <c r="A326" s="110" t="str">
        <f t="shared" si="19"/>
        <v>B000</v>
      </c>
      <c r="B326" s="110" t="str">
        <f t="shared" si="20"/>
        <v>000</v>
      </c>
      <c r="C326" s="110" t="str">
        <f t="shared" si="22"/>
        <v>24</v>
      </c>
      <c r="D326" s="110" t="str">
        <f>"8586"</f>
        <v>8586</v>
      </c>
      <c r="E326" s="110" t="s">
        <v>469</v>
      </c>
      <c r="F326" s="110">
        <v>0</v>
      </c>
      <c r="G326" s="110">
        <v>0</v>
      </c>
      <c r="H326" s="110">
        <v>0</v>
      </c>
      <c r="I326" s="110">
        <v>0</v>
      </c>
      <c r="J326" s="110" t="s">
        <v>142</v>
      </c>
    </row>
    <row r="327" spans="1:10" x14ac:dyDescent="0.3">
      <c r="A327" s="110" t="str">
        <f t="shared" si="19"/>
        <v>B000</v>
      </c>
      <c r="B327" s="110" t="str">
        <f t="shared" si="20"/>
        <v>000</v>
      </c>
      <c r="C327" s="110" t="str">
        <f t="shared" si="22"/>
        <v>24</v>
      </c>
      <c r="D327" s="110" t="str">
        <f>"8780"</f>
        <v>8780</v>
      </c>
      <c r="E327" s="110" t="s">
        <v>236</v>
      </c>
      <c r="F327" s="110">
        <v>0</v>
      </c>
      <c r="G327" s="110">
        <v>0</v>
      </c>
      <c r="H327" s="110">
        <v>0</v>
      </c>
      <c r="I327" s="110">
        <v>0</v>
      </c>
      <c r="J327" s="110" t="s">
        <v>142</v>
      </c>
    </row>
    <row r="328" spans="1:10" x14ac:dyDescent="0.3">
      <c r="A328" s="110" t="str">
        <f t="shared" si="19"/>
        <v>B000</v>
      </c>
      <c r="B328" s="110" t="str">
        <f t="shared" si="20"/>
        <v>000</v>
      </c>
      <c r="C328" s="110" t="str">
        <f t="shared" si="22"/>
        <v>24</v>
      </c>
      <c r="D328" s="110" t="str">
        <f>"9043"</f>
        <v>9043</v>
      </c>
      <c r="E328" s="110" t="s">
        <v>237</v>
      </c>
      <c r="F328" s="110">
        <v>0</v>
      </c>
      <c r="G328" s="110">
        <v>0</v>
      </c>
      <c r="H328" s="110">
        <v>0</v>
      </c>
      <c r="I328" s="110">
        <v>0</v>
      </c>
      <c r="J328" s="110" t="s">
        <v>142</v>
      </c>
    </row>
    <row r="329" spans="1:10" x14ac:dyDescent="0.3">
      <c r="A329" s="110" t="str">
        <f t="shared" si="19"/>
        <v>B000</v>
      </c>
      <c r="B329" s="110" t="str">
        <f t="shared" si="20"/>
        <v>000</v>
      </c>
      <c r="C329" s="110" t="str">
        <f t="shared" si="22"/>
        <v>24</v>
      </c>
      <c r="D329" s="110" t="str">
        <f>"9115"</f>
        <v>9115</v>
      </c>
      <c r="E329" s="110" t="s">
        <v>471</v>
      </c>
      <c r="F329" s="110">
        <v>0</v>
      </c>
      <c r="G329" s="110">
        <v>0</v>
      </c>
      <c r="H329" s="110">
        <v>0</v>
      </c>
      <c r="I329" s="110">
        <v>0</v>
      </c>
      <c r="J329" s="110" t="s">
        <v>142</v>
      </c>
    </row>
    <row r="330" spans="1:10" x14ac:dyDescent="0.3">
      <c r="A330" s="110" t="str">
        <f t="shared" si="19"/>
        <v>B000</v>
      </c>
      <c r="B330" s="110" t="str">
        <f t="shared" si="20"/>
        <v>000</v>
      </c>
      <c r="C330" s="110" t="str">
        <f t="shared" ref="C330:C337" si="23">"25"</f>
        <v>25</v>
      </c>
      <c r="D330" s="110" t="str">
        <f>"7000"</f>
        <v>7000</v>
      </c>
      <c r="E330" s="110" t="s">
        <v>180</v>
      </c>
      <c r="F330" s="28">
        <v>50030</v>
      </c>
      <c r="G330" s="28">
        <v>50030</v>
      </c>
      <c r="H330" s="28">
        <v>50030</v>
      </c>
      <c r="I330" s="28">
        <v>50030</v>
      </c>
      <c r="J330" s="110" t="s">
        <v>142</v>
      </c>
    </row>
    <row r="331" spans="1:10" x14ac:dyDescent="0.3">
      <c r="A331" s="110" t="str">
        <f t="shared" si="19"/>
        <v>B000</v>
      </c>
      <c r="B331" s="110" t="str">
        <f t="shared" si="20"/>
        <v>000</v>
      </c>
      <c r="C331" s="110" t="str">
        <f t="shared" si="23"/>
        <v>25</v>
      </c>
      <c r="D331" s="110" t="str">
        <f>"7064"</f>
        <v>7064</v>
      </c>
      <c r="E331" s="110" t="s">
        <v>191</v>
      </c>
      <c r="F331" s="110">
        <v>0</v>
      </c>
      <c r="G331" s="110">
        <v>0</v>
      </c>
      <c r="H331" s="110">
        <v>0</v>
      </c>
      <c r="I331" s="110">
        <v>0</v>
      </c>
      <c r="J331" s="110" t="s">
        <v>192</v>
      </c>
    </row>
    <row r="332" spans="1:10" x14ac:dyDescent="0.3">
      <c r="A332" s="110" t="str">
        <f t="shared" si="19"/>
        <v>B000</v>
      </c>
      <c r="B332" s="110" t="str">
        <f t="shared" si="20"/>
        <v>000</v>
      </c>
      <c r="C332" s="110" t="str">
        <f t="shared" si="23"/>
        <v>25</v>
      </c>
      <c r="D332" s="110" t="str">
        <f>"7066"</f>
        <v>7066</v>
      </c>
      <c r="E332" s="110" t="s">
        <v>222</v>
      </c>
      <c r="F332" s="110">
        <v>0</v>
      </c>
      <c r="G332" s="110">
        <v>0</v>
      </c>
      <c r="H332" s="110">
        <v>0</v>
      </c>
      <c r="I332" s="110">
        <v>0</v>
      </c>
      <c r="J332" s="110" t="s">
        <v>192</v>
      </c>
    </row>
    <row r="333" spans="1:10" x14ac:dyDescent="0.3">
      <c r="A333" s="110" t="str">
        <f t="shared" si="19"/>
        <v>B000</v>
      </c>
      <c r="B333" s="110" t="str">
        <f t="shared" si="20"/>
        <v>000</v>
      </c>
      <c r="C333" s="110" t="str">
        <f t="shared" si="23"/>
        <v>25</v>
      </c>
      <c r="D333" s="110" t="str">
        <f>"7398"</f>
        <v>7398</v>
      </c>
      <c r="E333" s="110" t="s">
        <v>199</v>
      </c>
      <c r="F333" s="28">
        <v>5004</v>
      </c>
      <c r="G333" s="28">
        <v>5004</v>
      </c>
      <c r="H333" s="28">
        <v>5004</v>
      </c>
      <c r="I333" s="28">
        <v>5004</v>
      </c>
      <c r="J333" s="110" t="s">
        <v>200</v>
      </c>
    </row>
    <row r="334" spans="1:10" x14ac:dyDescent="0.3">
      <c r="A334" s="110" t="str">
        <f t="shared" ref="A334:A367" si="24">"B000"</f>
        <v>B000</v>
      </c>
      <c r="B334" s="110" t="str">
        <f t="shared" ref="B334:B367" si="25">"000"</f>
        <v>000</v>
      </c>
      <c r="C334" s="110" t="str">
        <f t="shared" si="23"/>
        <v>25</v>
      </c>
      <c r="D334" s="110" t="str">
        <f>"8501"</f>
        <v>8501</v>
      </c>
      <c r="E334" s="110" t="s">
        <v>214</v>
      </c>
      <c r="F334" s="110">
        <v>0</v>
      </c>
      <c r="G334" s="110">
        <v>0</v>
      </c>
      <c r="H334" s="110">
        <v>0</v>
      </c>
      <c r="I334" s="110">
        <v>0</v>
      </c>
      <c r="J334" s="110" t="s">
        <v>142</v>
      </c>
    </row>
    <row r="335" spans="1:10" x14ac:dyDescent="0.3">
      <c r="A335" s="110" t="str">
        <f t="shared" si="24"/>
        <v>B000</v>
      </c>
      <c r="B335" s="110" t="str">
        <f t="shared" si="25"/>
        <v>000</v>
      </c>
      <c r="C335" s="110" t="str">
        <f t="shared" si="23"/>
        <v>25</v>
      </c>
      <c r="D335" s="110" t="str">
        <f>"8503"</f>
        <v>8503</v>
      </c>
      <c r="E335" s="110" t="s">
        <v>233</v>
      </c>
      <c r="F335" s="28">
        <v>335272</v>
      </c>
      <c r="G335" s="28">
        <v>335272</v>
      </c>
      <c r="H335" s="28">
        <v>335272</v>
      </c>
      <c r="I335" s="28">
        <v>335272</v>
      </c>
      <c r="J335" s="110" t="s">
        <v>142</v>
      </c>
    </row>
    <row r="336" spans="1:10" x14ac:dyDescent="0.3">
      <c r="A336" s="110" t="str">
        <f t="shared" si="24"/>
        <v>B000</v>
      </c>
      <c r="B336" s="110" t="str">
        <f t="shared" si="25"/>
        <v>000</v>
      </c>
      <c r="C336" s="110" t="str">
        <f t="shared" si="23"/>
        <v>25</v>
      </c>
      <c r="D336" s="110" t="str">
        <f>"8516"</f>
        <v>8516</v>
      </c>
      <c r="E336" s="110" t="s">
        <v>234</v>
      </c>
      <c r="F336" s="28">
        <v>213681</v>
      </c>
      <c r="G336" s="28">
        <v>213681</v>
      </c>
      <c r="H336" s="28">
        <v>213681</v>
      </c>
      <c r="I336" s="28">
        <v>213681</v>
      </c>
      <c r="J336" s="110" t="s">
        <v>142</v>
      </c>
    </row>
    <row r="337" spans="1:10" x14ac:dyDescent="0.3">
      <c r="A337" s="110" t="str">
        <f t="shared" si="24"/>
        <v>B000</v>
      </c>
      <c r="B337" s="110" t="str">
        <f t="shared" si="25"/>
        <v>000</v>
      </c>
      <c r="C337" s="110" t="str">
        <f t="shared" si="23"/>
        <v>25</v>
      </c>
      <c r="D337" s="110" t="str">
        <f>"8780"</f>
        <v>8780</v>
      </c>
      <c r="E337" s="110" t="s">
        <v>236</v>
      </c>
      <c r="F337" s="28">
        <v>49491</v>
      </c>
      <c r="G337" s="28">
        <v>49491</v>
      </c>
      <c r="H337" s="28">
        <v>49491</v>
      </c>
      <c r="I337" s="28">
        <v>49491</v>
      </c>
      <c r="J337" s="110" t="s">
        <v>142</v>
      </c>
    </row>
    <row r="338" spans="1:10" x14ac:dyDescent="0.3">
      <c r="A338" s="110" t="str">
        <f t="shared" si="24"/>
        <v>B000</v>
      </c>
      <c r="B338" s="110" t="str">
        <f t="shared" si="25"/>
        <v>000</v>
      </c>
      <c r="C338" s="110" t="str">
        <f t="shared" ref="C338:C345" si="26">"26"</f>
        <v>26</v>
      </c>
      <c r="D338" s="110" t="str">
        <f>"7073"</f>
        <v>7073</v>
      </c>
      <c r="E338" s="110" t="s">
        <v>194</v>
      </c>
      <c r="F338" s="110">
        <v>465</v>
      </c>
      <c r="G338" s="110">
        <v>279</v>
      </c>
      <c r="H338" s="110">
        <v>465</v>
      </c>
      <c r="I338" s="110">
        <v>465</v>
      </c>
      <c r="J338" s="110" t="s">
        <v>192</v>
      </c>
    </row>
    <row r="339" spans="1:10" x14ac:dyDescent="0.3">
      <c r="A339" s="110" t="str">
        <f t="shared" si="24"/>
        <v>B000</v>
      </c>
      <c r="B339" s="110" t="str">
        <f t="shared" si="25"/>
        <v>000</v>
      </c>
      <c r="C339" s="110" t="str">
        <f t="shared" si="26"/>
        <v>26</v>
      </c>
      <c r="D339" s="110" t="str">
        <f>"7460"</f>
        <v>7460</v>
      </c>
      <c r="E339" s="110" t="s">
        <v>228</v>
      </c>
      <c r="F339" s="110">
        <v>0</v>
      </c>
      <c r="G339" s="110">
        <v>0</v>
      </c>
      <c r="H339" s="110">
        <v>0</v>
      </c>
      <c r="I339" s="110">
        <v>0</v>
      </c>
      <c r="J339" s="110" t="s">
        <v>203</v>
      </c>
    </row>
    <row r="340" spans="1:10" x14ac:dyDescent="0.3">
      <c r="A340" s="110" t="str">
        <f t="shared" si="24"/>
        <v>B000</v>
      </c>
      <c r="B340" s="110" t="str">
        <f t="shared" si="25"/>
        <v>000</v>
      </c>
      <c r="C340" s="110" t="str">
        <f t="shared" si="26"/>
        <v>26</v>
      </c>
      <c r="D340" s="110" t="str">
        <f>"7532"</f>
        <v>7532</v>
      </c>
      <c r="E340" s="110" t="s">
        <v>466</v>
      </c>
      <c r="F340" s="110">
        <v>673</v>
      </c>
      <c r="G340" s="110">
        <v>673</v>
      </c>
      <c r="H340" s="110">
        <v>673</v>
      </c>
      <c r="I340" s="110">
        <v>673</v>
      </c>
      <c r="J340" s="110" t="s">
        <v>229</v>
      </c>
    </row>
    <row r="341" spans="1:10" x14ac:dyDescent="0.3">
      <c r="A341" s="110" t="str">
        <f t="shared" si="24"/>
        <v>B000</v>
      </c>
      <c r="B341" s="110" t="str">
        <f t="shared" si="25"/>
        <v>000</v>
      </c>
      <c r="C341" s="110" t="str">
        <f t="shared" si="26"/>
        <v>26</v>
      </c>
      <c r="D341" s="110" t="str">
        <f>"7533"</f>
        <v>7533</v>
      </c>
      <c r="E341" s="110" t="s">
        <v>201</v>
      </c>
      <c r="F341" s="110">
        <v>0</v>
      </c>
      <c r="G341" s="110">
        <v>0</v>
      </c>
      <c r="H341" s="110">
        <v>0</v>
      </c>
      <c r="I341" s="110">
        <v>0</v>
      </c>
      <c r="J341" s="110" t="s">
        <v>179</v>
      </c>
    </row>
    <row r="342" spans="1:10" x14ac:dyDescent="0.3">
      <c r="A342" s="110" t="str">
        <f t="shared" si="24"/>
        <v>B000</v>
      </c>
      <c r="B342" s="110" t="str">
        <f t="shared" si="25"/>
        <v>000</v>
      </c>
      <c r="C342" s="110" t="str">
        <f t="shared" si="26"/>
        <v>26</v>
      </c>
      <c r="D342" s="110" t="str">
        <f>"7545"</f>
        <v>7545</v>
      </c>
      <c r="E342" s="110" t="s">
        <v>453</v>
      </c>
      <c r="F342" s="110">
        <v>0</v>
      </c>
      <c r="G342" s="110">
        <v>0</v>
      </c>
      <c r="H342" s="110">
        <v>0</v>
      </c>
      <c r="I342" s="110">
        <v>0</v>
      </c>
      <c r="J342" s="110" t="s">
        <v>179</v>
      </c>
    </row>
    <row r="343" spans="1:10" x14ac:dyDescent="0.3">
      <c r="A343" s="110" t="str">
        <f t="shared" si="24"/>
        <v>B000</v>
      </c>
      <c r="B343" s="110" t="str">
        <f t="shared" si="25"/>
        <v>000</v>
      </c>
      <c r="C343" s="110" t="str">
        <f t="shared" si="26"/>
        <v>26</v>
      </c>
      <c r="D343" s="110" t="str">
        <f>"7554"</f>
        <v>7554</v>
      </c>
      <c r="E343" s="110" t="s">
        <v>241</v>
      </c>
      <c r="F343" s="28">
        <v>3918</v>
      </c>
      <c r="G343" s="28">
        <v>3808</v>
      </c>
      <c r="H343" s="28">
        <v>3918</v>
      </c>
      <c r="I343" s="28">
        <v>3918</v>
      </c>
      <c r="J343" s="110" t="s">
        <v>154</v>
      </c>
    </row>
    <row r="344" spans="1:10" x14ac:dyDescent="0.3">
      <c r="A344" s="110" t="str">
        <f t="shared" si="24"/>
        <v>B000</v>
      </c>
      <c r="B344" s="110" t="str">
        <f t="shared" si="25"/>
        <v>000</v>
      </c>
      <c r="C344" s="110" t="str">
        <f t="shared" si="26"/>
        <v>26</v>
      </c>
      <c r="D344" s="110" t="str">
        <f>"7556"</f>
        <v>7556</v>
      </c>
      <c r="E344" s="110" t="s">
        <v>242</v>
      </c>
      <c r="F344" s="28">
        <v>1889</v>
      </c>
      <c r="G344" s="28">
        <v>2316</v>
      </c>
      <c r="H344" s="28">
        <v>1889</v>
      </c>
      <c r="I344" s="28">
        <v>1889</v>
      </c>
      <c r="J344" s="110" t="s">
        <v>154</v>
      </c>
    </row>
    <row r="345" spans="1:10" x14ac:dyDescent="0.3">
      <c r="A345" s="110" t="str">
        <f t="shared" si="24"/>
        <v>B000</v>
      </c>
      <c r="B345" s="110" t="str">
        <f t="shared" si="25"/>
        <v>000</v>
      </c>
      <c r="C345" s="110" t="str">
        <f t="shared" si="26"/>
        <v>26</v>
      </c>
      <c r="D345" s="110" t="str">
        <f>"8371"</f>
        <v>8371</v>
      </c>
      <c r="E345" s="110" t="s">
        <v>205</v>
      </c>
      <c r="F345" s="28">
        <v>10075</v>
      </c>
      <c r="G345" s="28">
        <v>6516</v>
      </c>
      <c r="H345" s="28">
        <v>10075</v>
      </c>
      <c r="I345" s="28">
        <v>10075</v>
      </c>
      <c r="J345" s="110" t="s">
        <v>203</v>
      </c>
    </row>
    <row r="346" spans="1:10" x14ac:dyDescent="0.3">
      <c r="A346" s="110" t="str">
        <f t="shared" si="24"/>
        <v>B000</v>
      </c>
      <c r="B346" s="110" t="str">
        <f t="shared" si="25"/>
        <v>000</v>
      </c>
      <c r="C346" s="110" t="str">
        <f t="shared" ref="C346:C363" si="27">"31"</f>
        <v>31</v>
      </c>
      <c r="D346" s="110" t="str">
        <f>"6200"</f>
        <v>6200</v>
      </c>
      <c r="E346" s="110" t="s">
        <v>169</v>
      </c>
      <c r="F346" s="110">
        <v>70</v>
      </c>
      <c r="G346" s="110">
        <v>70</v>
      </c>
      <c r="H346" s="110">
        <v>70</v>
      </c>
      <c r="I346" s="110">
        <v>70</v>
      </c>
      <c r="J346" s="110" t="s">
        <v>142</v>
      </c>
    </row>
    <row r="347" spans="1:10" x14ac:dyDescent="0.3">
      <c r="A347" s="110" t="str">
        <f t="shared" si="24"/>
        <v>B000</v>
      </c>
      <c r="B347" s="110" t="str">
        <f t="shared" si="25"/>
        <v>000</v>
      </c>
      <c r="C347" s="110" t="str">
        <f t="shared" si="27"/>
        <v>31</v>
      </c>
      <c r="D347" s="110" t="str">
        <f>"6210"</f>
        <v>6210</v>
      </c>
      <c r="E347" s="110" t="s">
        <v>185</v>
      </c>
      <c r="F347" s="110">
        <v>34</v>
      </c>
      <c r="G347" s="110">
        <v>34</v>
      </c>
      <c r="H347" s="110">
        <v>34</v>
      </c>
      <c r="I347" s="110">
        <v>34</v>
      </c>
      <c r="J347" s="110" t="s">
        <v>142</v>
      </c>
    </row>
    <row r="348" spans="1:10" x14ac:dyDescent="0.3">
      <c r="A348" s="110" t="str">
        <f t="shared" si="24"/>
        <v>B000</v>
      </c>
      <c r="B348" s="110" t="str">
        <f t="shared" si="25"/>
        <v>000</v>
      </c>
      <c r="C348" s="110" t="str">
        <f t="shared" si="27"/>
        <v>31</v>
      </c>
      <c r="D348" s="110" t="str">
        <f>"6240"</f>
        <v>6240</v>
      </c>
      <c r="E348" s="110" t="s">
        <v>170</v>
      </c>
      <c r="F348" s="110">
        <v>39</v>
      </c>
      <c r="G348" s="110">
        <v>39</v>
      </c>
      <c r="H348" s="110">
        <v>39</v>
      </c>
      <c r="I348" s="110">
        <v>39</v>
      </c>
      <c r="J348" s="110" t="s">
        <v>142</v>
      </c>
    </row>
    <row r="349" spans="1:10" x14ac:dyDescent="0.3">
      <c r="A349" s="110" t="str">
        <f t="shared" si="24"/>
        <v>B000</v>
      </c>
      <c r="B349" s="110" t="str">
        <f t="shared" si="25"/>
        <v>000</v>
      </c>
      <c r="C349" s="110" t="str">
        <f t="shared" si="27"/>
        <v>31</v>
      </c>
      <c r="D349" s="110" t="str">
        <f>"6250"</f>
        <v>6250</v>
      </c>
      <c r="E349" s="110" t="s">
        <v>171</v>
      </c>
      <c r="F349" s="110">
        <v>662</v>
      </c>
      <c r="G349" s="110">
        <v>662</v>
      </c>
      <c r="H349" s="110">
        <v>662</v>
      </c>
      <c r="I349" s="110">
        <v>662</v>
      </c>
      <c r="J349" s="110" t="s">
        <v>142</v>
      </c>
    </row>
    <row r="350" spans="1:10" x14ac:dyDescent="0.3">
      <c r="A350" s="110" t="str">
        <f t="shared" si="24"/>
        <v>B000</v>
      </c>
      <c r="B350" s="110" t="str">
        <f t="shared" si="25"/>
        <v>000</v>
      </c>
      <c r="C350" s="110" t="str">
        <f t="shared" si="27"/>
        <v>31</v>
      </c>
      <c r="D350" s="110" t="str">
        <f>"7000"</f>
        <v>7000</v>
      </c>
      <c r="E350" s="110" t="s">
        <v>180</v>
      </c>
      <c r="F350" s="28">
        <v>21166</v>
      </c>
      <c r="G350" s="28">
        <v>24501</v>
      </c>
      <c r="H350" s="28">
        <v>21166</v>
      </c>
      <c r="I350" s="28">
        <v>21166</v>
      </c>
      <c r="J350" s="110" t="s">
        <v>142</v>
      </c>
    </row>
    <row r="351" spans="1:10" x14ac:dyDescent="0.3">
      <c r="A351" s="110" t="str">
        <f t="shared" si="24"/>
        <v>B000</v>
      </c>
      <c r="B351" s="110" t="str">
        <f t="shared" si="25"/>
        <v>000</v>
      </c>
      <c r="C351" s="110" t="str">
        <f t="shared" si="27"/>
        <v>31</v>
      </c>
      <c r="D351" s="110" t="str">
        <f>"7001"</f>
        <v>7001</v>
      </c>
      <c r="E351" s="110" t="s">
        <v>451</v>
      </c>
      <c r="F351" s="110">
        <v>0</v>
      </c>
      <c r="G351" s="110">
        <v>0</v>
      </c>
      <c r="H351" s="110">
        <v>0</v>
      </c>
      <c r="I351" s="110">
        <v>0</v>
      </c>
      <c r="J351" s="110" t="s">
        <v>142</v>
      </c>
    </row>
    <row r="352" spans="1:10" x14ac:dyDescent="0.3">
      <c r="A352" s="110" t="str">
        <f t="shared" si="24"/>
        <v>B000</v>
      </c>
      <c r="B352" s="110" t="str">
        <f t="shared" si="25"/>
        <v>000</v>
      </c>
      <c r="C352" s="110" t="str">
        <f t="shared" si="27"/>
        <v>31</v>
      </c>
      <c r="D352" s="110" t="str">
        <f>"7030"</f>
        <v>7030</v>
      </c>
      <c r="E352" s="110" t="s">
        <v>187</v>
      </c>
      <c r="F352" s="110">
        <v>0</v>
      </c>
      <c r="G352" s="110">
        <v>0</v>
      </c>
      <c r="H352" s="110">
        <v>0</v>
      </c>
      <c r="I352" s="110">
        <v>0</v>
      </c>
      <c r="J352" s="110" t="s">
        <v>142</v>
      </c>
    </row>
    <row r="353" spans="1:10" x14ac:dyDescent="0.3">
      <c r="A353" s="110" t="str">
        <f t="shared" si="24"/>
        <v>B000</v>
      </c>
      <c r="B353" s="110" t="str">
        <f t="shared" si="25"/>
        <v>000</v>
      </c>
      <c r="C353" s="110" t="str">
        <f t="shared" si="27"/>
        <v>31</v>
      </c>
      <c r="D353" s="110" t="str">
        <f>"7110"</f>
        <v>7110</v>
      </c>
      <c r="E353" s="110" t="s">
        <v>174</v>
      </c>
      <c r="F353" s="110">
        <v>351</v>
      </c>
      <c r="G353" s="110">
        <v>362</v>
      </c>
      <c r="H353" s="110">
        <v>351</v>
      </c>
      <c r="I353" s="110">
        <v>351</v>
      </c>
      <c r="J353" s="110" t="s">
        <v>175</v>
      </c>
    </row>
    <row r="354" spans="1:10" x14ac:dyDescent="0.3">
      <c r="A354" s="110" t="str">
        <f t="shared" si="24"/>
        <v>B000</v>
      </c>
      <c r="B354" s="110" t="str">
        <f t="shared" si="25"/>
        <v>000</v>
      </c>
      <c r="C354" s="110" t="str">
        <f t="shared" si="27"/>
        <v>31</v>
      </c>
      <c r="D354" s="110" t="str">
        <f>"7138"</f>
        <v>7138</v>
      </c>
      <c r="E354" s="110" t="s">
        <v>177</v>
      </c>
      <c r="F354" s="110">
        <v>12</v>
      </c>
      <c r="G354" s="110">
        <v>12</v>
      </c>
      <c r="H354" s="110">
        <v>12</v>
      </c>
      <c r="I354" s="110">
        <v>12</v>
      </c>
      <c r="J354" s="110" t="s">
        <v>142</v>
      </c>
    </row>
    <row r="355" spans="1:10" x14ac:dyDescent="0.3">
      <c r="A355" s="110" t="str">
        <f t="shared" si="24"/>
        <v>B000</v>
      </c>
      <c r="B355" s="110" t="str">
        <f t="shared" si="25"/>
        <v>000</v>
      </c>
      <c r="C355" s="110" t="str">
        <f t="shared" si="27"/>
        <v>31</v>
      </c>
      <c r="D355" s="110" t="str">
        <f>"7255"</f>
        <v>7255</v>
      </c>
      <c r="E355" s="110" t="s">
        <v>178</v>
      </c>
      <c r="F355" s="110">
        <v>4</v>
      </c>
      <c r="G355" s="110">
        <v>5</v>
      </c>
      <c r="H355" s="110">
        <v>4</v>
      </c>
      <c r="I355" s="110">
        <v>4</v>
      </c>
      <c r="J355" s="110" t="s">
        <v>175</v>
      </c>
    </row>
    <row r="356" spans="1:10" x14ac:dyDescent="0.3">
      <c r="A356" s="110" t="str">
        <f t="shared" si="24"/>
        <v>B000</v>
      </c>
      <c r="B356" s="110" t="str">
        <f t="shared" si="25"/>
        <v>000</v>
      </c>
      <c r="C356" s="110" t="str">
        <f t="shared" si="27"/>
        <v>31</v>
      </c>
      <c r="D356" s="110" t="str">
        <f>"7289"</f>
        <v>7289</v>
      </c>
      <c r="E356" s="110" t="s">
        <v>452</v>
      </c>
      <c r="F356" s="110">
        <v>14</v>
      </c>
      <c r="G356" s="110">
        <v>12</v>
      </c>
      <c r="H356" s="110">
        <v>14</v>
      </c>
      <c r="I356" s="110">
        <v>14</v>
      </c>
      <c r="J356" s="110" t="s">
        <v>179</v>
      </c>
    </row>
    <row r="357" spans="1:10" x14ac:dyDescent="0.3">
      <c r="A357" s="110" t="str">
        <f t="shared" si="24"/>
        <v>B000</v>
      </c>
      <c r="B357" s="110" t="str">
        <f t="shared" si="25"/>
        <v>000</v>
      </c>
      <c r="C357" s="110" t="str">
        <f t="shared" si="27"/>
        <v>31</v>
      </c>
      <c r="D357" s="110" t="str">
        <f>"7292"</f>
        <v>7292</v>
      </c>
      <c r="E357" s="110" t="s">
        <v>449</v>
      </c>
      <c r="F357" s="110">
        <v>0</v>
      </c>
      <c r="G357" s="110">
        <v>0</v>
      </c>
      <c r="H357" s="110">
        <v>0</v>
      </c>
      <c r="I357" s="110">
        <v>0</v>
      </c>
      <c r="J357" s="110" t="s">
        <v>179</v>
      </c>
    </row>
    <row r="358" spans="1:10" x14ac:dyDescent="0.3">
      <c r="A358" s="110" t="str">
        <f t="shared" si="24"/>
        <v>B000</v>
      </c>
      <c r="B358" s="110" t="str">
        <f t="shared" si="25"/>
        <v>000</v>
      </c>
      <c r="C358" s="110" t="str">
        <f t="shared" si="27"/>
        <v>31</v>
      </c>
      <c r="D358" s="110" t="str">
        <f>"7295"</f>
        <v>7295</v>
      </c>
      <c r="E358" s="110" t="s">
        <v>450</v>
      </c>
      <c r="F358" s="110">
        <v>0</v>
      </c>
      <c r="G358" s="110">
        <v>0</v>
      </c>
      <c r="H358" s="110">
        <v>0</v>
      </c>
      <c r="I358" s="110">
        <v>0</v>
      </c>
      <c r="J358" s="110" t="s">
        <v>179</v>
      </c>
    </row>
    <row r="359" spans="1:10" x14ac:dyDescent="0.3">
      <c r="A359" s="110" t="str">
        <f t="shared" si="24"/>
        <v>B000</v>
      </c>
      <c r="B359" s="110" t="str">
        <f t="shared" si="25"/>
        <v>000</v>
      </c>
      <c r="C359" s="110" t="str">
        <f t="shared" si="27"/>
        <v>31</v>
      </c>
      <c r="D359" s="110" t="str">
        <f>"7398"</f>
        <v>7398</v>
      </c>
      <c r="E359" s="110" t="s">
        <v>199</v>
      </c>
      <c r="F359" s="28">
        <v>3255</v>
      </c>
      <c r="G359" s="28">
        <v>3659</v>
      </c>
      <c r="H359" s="28">
        <v>3255</v>
      </c>
      <c r="I359" s="28">
        <v>3255</v>
      </c>
      <c r="J359" s="110" t="s">
        <v>200</v>
      </c>
    </row>
    <row r="360" spans="1:10" x14ac:dyDescent="0.3">
      <c r="A360" s="110" t="str">
        <f t="shared" si="24"/>
        <v>B000</v>
      </c>
      <c r="B360" s="110" t="str">
        <f t="shared" si="25"/>
        <v>000</v>
      </c>
      <c r="C360" s="110" t="str">
        <f t="shared" si="27"/>
        <v>31</v>
      </c>
      <c r="D360" s="110" t="str">
        <f>"7533"</f>
        <v>7533</v>
      </c>
      <c r="E360" s="110" t="s">
        <v>201</v>
      </c>
      <c r="F360" s="110">
        <v>17</v>
      </c>
      <c r="G360" s="110">
        <v>17</v>
      </c>
      <c r="H360" s="110">
        <v>17</v>
      </c>
      <c r="I360" s="110">
        <v>17</v>
      </c>
      <c r="J360" s="110" t="s">
        <v>179</v>
      </c>
    </row>
    <row r="361" spans="1:10" x14ac:dyDescent="0.3">
      <c r="A361" s="110" t="str">
        <f t="shared" si="24"/>
        <v>B000</v>
      </c>
      <c r="B361" s="110" t="str">
        <f t="shared" si="25"/>
        <v>000</v>
      </c>
      <c r="C361" s="110" t="str">
        <f t="shared" si="27"/>
        <v>31</v>
      </c>
      <c r="D361" s="110" t="str">
        <f>"7771"</f>
        <v>7771</v>
      </c>
      <c r="E361" s="110" t="s">
        <v>202</v>
      </c>
      <c r="F361" s="110">
        <v>144</v>
      </c>
      <c r="G361" s="110">
        <v>144</v>
      </c>
      <c r="H361" s="110">
        <v>144</v>
      </c>
      <c r="I361" s="110">
        <v>144</v>
      </c>
      <c r="J361" s="110" t="s">
        <v>203</v>
      </c>
    </row>
    <row r="362" spans="1:10" x14ac:dyDescent="0.3">
      <c r="A362" s="110" t="str">
        <f t="shared" si="24"/>
        <v>B000</v>
      </c>
      <c r="B362" s="110" t="str">
        <f t="shared" si="25"/>
        <v>000</v>
      </c>
      <c r="C362" s="110" t="str">
        <f t="shared" si="27"/>
        <v>31</v>
      </c>
      <c r="D362" s="110" t="str">
        <f>"8587"</f>
        <v>8587</v>
      </c>
      <c r="E362" s="110" t="s">
        <v>472</v>
      </c>
      <c r="F362" s="28">
        <v>1178991</v>
      </c>
      <c r="G362" s="28">
        <v>1174781</v>
      </c>
      <c r="H362" s="28">
        <v>1178991</v>
      </c>
      <c r="I362" s="28">
        <v>1178991</v>
      </c>
      <c r="J362" s="110" t="s">
        <v>142</v>
      </c>
    </row>
    <row r="363" spans="1:10" x14ac:dyDescent="0.3">
      <c r="A363" s="110" t="str">
        <f t="shared" si="24"/>
        <v>B000</v>
      </c>
      <c r="B363" s="110" t="str">
        <f t="shared" si="25"/>
        <v>000</v>
      </c>
      <c r="C363" s="110" t="str">
        <f t="shared" si="27"/>
        <v>31</v>
      </c>
      <c r="D363" s="110" t="str">
        <f>"8648"</f>
        <v>8648</v>
      </c>
      <c r="E363" s="110" t="s">
        <v>243</v>
      </c>
      <c r="F363" s="110">
        <v>0</v>
      </c>
      <c r="G363" s="110">
        <v>0</v>
      </c>
      <c r="H363" s="110">
        <v>0</v>
      </c>
      <c r="I363" s="110">
        <v>0</v>
      </c>
      <c r="J363" s="110" t="s">
        <v>142</v>
      </c>
    </row>
    <row r="364" spans="1:10" x14ac:dyDescent="0.3">
      <c r="A364" s="110" t="str">
        <f t="shared" si="24"/>
        <v>B000</v>
      </c>
      <c r="B364" s="110" t="str">
        <f t="shared" si="25"/>
        <v>000</v>
      </c>
      <c r="C364" s="110" t="str">
        <f>"82"</f>
        <v>82</v>
      </c>
      <c r="D364" s="110" t="str">
        <f>"7398"</f>
        <v>7398</v>
      </c>
      <c r="E364" s="110" t="s">
        <v>199</v>
      </c>
      <c r="F364" s="110">
        <v>0</v>
      </c>
      <c r="G364" s="110">
        <v>0</v>
      </c>
      <c r="H364" s="110">
        <v>0</v>
      </c>
      <c r="I364" s="110">
        <v>0</v>
      </c>
      <c r="J364" s="110" t="s">
        <v>200</v>
      </c>
    </row>
    <row r="365" spans="1:10" x14ac:dyDescent="0.3">
      <c r="A365" s="110" t="str">
        <f t="shared" si="24"/>
        <v>B000</v>
      </c>
      <c r="B365" s="110" t="str">
        <f t="shared" si="25"/>
        <v>000</v>
      </c>
      <c r="C365" s="110" t="str">
        <f>"83"</f>
        <v>83</v>
      </c>
      <c r="D365" s="110" t="str">
        <f>"7388"</f>
        <v>7388</v>
      </c>
      <c r="E365" s="110" t="s">
        <v>244</v>
      </c>
      <c r="F365" s="28">
        <v>54000</v>
      </c>
      <c r="G365" s="28">
        <v>54000</v>
      </c>
      <c r="H365" s="28">
        <v>54000</v>
      </c>
      <c r="I365" s="28">
        <v>54000</v>
      </c>
      <c r="J365" s="110" t="s">
        <v>245</v>
      </c>
    </row>
    <row r="366" spans="1:10" x14ac:dyDescent="0.3">
      <c r="A366" s="110" t="str">
        <f t="shared" si="24"/>
        <v>B000</v>
      </c>
      <c r="B366" s="110" t="str">
        <f t="shared" si="25"/>
        <v>000</v>
      </c>
      <c r="C366" s="110" t="str">
        <f>"87"</f>
        <v>87</v>
      </c>
      <c r="D366" s="110" t="str">
        <f>"7393"</f>
        <v>7393</v>
      </c>
      <c r="E366" s="110" t="s">
        <v>246</v>
      </c>
      <c r="F366" s="28">
        <v>4054</v>
      </c>
      <c r="G366" s="28">
        <v>4176</v>
      </c>
      <c r="H366" s="28">
        <v>4054</v>
      </c>
      <c r="I366" s="28">
        <v>4054</v>
      </c>
      <c r="J366" s="110" t="s">
        <v>246</v>
      </c>
    </row>
    <row r="367" spans="1:10" x14ac:dyDescent="0.3">
      <c r="A367" s="110" t="str">
        <f t="shared" si="24"/>
        <v>B000</v>
      </c>
      <c r="B367" s="110" t="str">
        <f t="shared" si="25"/>
        <v>000</v>
      </c>
      <c r="C367" s="110" t="str">
        <f>"88"</f>
        <v>88</v>
      </c>
      <c r="D367" s="110" t="str">
        <f>"9159"</f>
        <v>9159</v>
      </c>
      <c r="E367" s="110" t="s">
        <v>247</v>
      </c>
      <c r="F367" s="28">
        <v>19806</v>
      </c>
      <c r="G367" s="28">
        <v>19806</v>
      </c>
      <c r="H367" s="28">
        <v>19806</v>
      </c>
      <c r="I367" s="28">
        <v>19806</v>
      </c>
      <c r="J367" s="110" t="s">
        <v>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1"/>
  <sheetViews>
    <sheetView workbookViewId="0">
      <selection activeCell="V11" sqref="V11"/>
    </sheetView>
  </sheetViews>
  <sheetFormatPr defaultRowHeight="14.4" x14ac:dyDescent="0.3"/>
  <cols>
    <col min="1" max="1" width="6.109375" style="110" customWidth="1"/>
    <col min="2" max="2" width="12" style="110" customWidth="1"/>
    <col min="3" max="3" width="20" style="110" bestFit="1" customWidth="1"/>
    <col min="4" max="4" width="8.88671875" style="110" bestFit="1" customWidth="1"/>
    <col min="5" max="5" width="30.109375" style="110" bestFit="1" customWidth="1"/>
    <col min="6" max="8" width="10" style="110" bestFit="1" customWidth="1"/>
    <col min="9" max="9" width="5" style="110" bestFit="1" customWidth="1"/>
    <col min="10" max="18" width="8" style="110" bestFit="1" customWidth="1"/>
    <col min="19" max="22" width="12" style="110" bestFit="1" customWidth="1"/>
    <col min="23" max="257" width="9.109375" style="110"/>
    <col min="258" max="258" width="8" style="110" bestFit="1" customWidth="1"/>
    <col min="259" max="259" width="20" style="110" bestFit="1" customWidth="1"/>
    <col min="260" max="260" width="15" style="110" bestFit="1" customWidth="1"/>
    <col min="261" max="261" width="35" style="110" bestFit="1" customWidth="1"/>
    <col min="262" max="264" width="10" style="110" bestFit="1" customWidth="1"/>
    <col min="265" max="265" width="5" style="110" bestFit="1" customWidth="1"/>
    <col min="266" max="274" width="8" style="110" bestFit="1" customWidth="1"/>
    <col min="275" max="278" width="12" style="110" bestFit="1" customWidth="1"/>
    <col min="279" max="513" width="9.109375" style="110"/>
    <col min="514" max="514" width="8" style="110" bestFit="1" customWidth="1"/>
    <col min="515" max="515" width="20" style="110" bestFit="1" customWidth="1"/>
    <col min="516" max="516" width="15" style="110" bestFit="1" customWidth="1"/>
    <col min="517" max="517" width="35" style="110" bestFit="1" customWidth="1"/>
    <col min="518" max="520" width="10" style="110" bestFit="1" customWidth="1"/>
    <col min="521" max="521" width="5" style="110" bestFit="1" customWidth="1"/>
    <col min="522" max="530" width="8" style="110" bestFit="1" customWidth="1"/>
    <col min="531" max="534" width="12" style="110" bestFit="1" customWidth="1"/>
    <col min="535" max="769" width="9.109375" style="110"/>
    <col min="770" max="770" width="8" style="110" bestFit="1" customWidth="1"/>
    <col min="771" max="771" width="20" style="110" bestFit="1" customWidth="1"/>
    <col min="772" max="772" width="15" style="110" bestFit="1" customWidth="1"/>
    <col min="773" max="773" width="35" style="110" bestFit="1" customWidth="1"/>
    <col min="774" max="776" width="10" style="110" bestFit="1" customWidth="1"/>
    <col min="777" max="777" width="5" style="110" bestFit="1" customWidth="1"/>
    <col min="778" max="786" width="8" style="110" bestFit="1" customWidth="1"/>
    <col min="787" max="790" width="12" style="110" bestFit="1" customWidth="1"/>
    <col min="791" max="1025" width="9.109375" style="110"/>
    <col min="1026" max="1026" width="8" style="110" bestFit="1" customWidth="1"/>
    <col min="1027" max="1027" width="20" style="110" bestFit="1" customWidth="1"/>
    <col min="1028" max="1028" width="15" style="110" bestFit="1" customWidth="1"/>
    <col min="1029" max="1029" width="35" style="110" bestFit="1" customWidth="1"/>
    <col min="1030" max="1032" width="10" style="110" bestFit="1" customWidth="1"/>
    <col min="1033" max="1033" width="5" style="110" bestFit="1" customWidth="1"/>
    <col min="1034" max="1042" width="8" style="110" bestFit="1" customWidth="1"/>
    <col min="1043" max="1046" width="12" style="110" bestFit="1" customWidth="1"/>
    <col min="1047" max="1281" width="9.109375" style="110"/>
    <col min="1282" max="1282" width="8" style="110" bestFit="1" customWidth="1"/>
    <col min="1283" max="1283" width="20" style="110" bestFit="1" customWidth="1"/>
    <col min="1284" max="1284" width="15" style="110" bestFit="1" customWidth="1"/>
    <col min="1285" max="1285" width="35" style="110" bestFit="1" customWidth="1"/>
    <col min="1286" max="1288" width="10" style="110" bestFit="1" customWidth="1"/>
    <col min="1289" max="1289" width="5" style="110" bestFit="1" customWidth="1"/>
    <col min="1290" max="1298" width="8" style="110" bestFit="1" customWidth="1"/>
    <col min="1299" max="1302" width="12" style="110" bestFit="1" customWidth="1"/>
    <col min="1303" max="1537" width="9.109375" style="110"/>
    <col min="1538" max="1538" width="8" style="110" bestFit="1" customWidth="1"/>
    <col min="1539" max="1539" width="20" style="110" bestFit="1" customWidth="1"/>
    <col min="1540" max="1540" width="15" style="110" bestFit="1" customWidth="1"/>
    <col min="1541" max="1541" width="35" style="110" bestFit="1" customWidth="1"/>
    <col min="1542" max="1544" width="10" style="110" bestFit="1" customWidth="1"/>
    <col min="1545" max="1545" width="5" style="110" bestFit="1" customWidth="1"/>
    <col min="1546" max="1554" width="8" style="110" bestFit="1" customWidth="1"/>
    <col min="1555" max="1558" width="12" style="110" bestFit="1" customWidth="1"/>
    <col min="1559" max="1793" width="9.109375" style="110"/>
    <col min="1794" max="1794" width="8" style="110" bestFit="1" customWidth="1"/>
    <col min="1795" max="1795" width="20" style="110" bestFit="1" customWidth="1"/>
    <col min="1796" max="1796" width="15" style="110" bestFit="1" customWidth="1"/>
    <col min="1797" max="1797" width="35" style="110" bestFit="1" customWidth="1"/>
    <col min="1798" max="1800" width="10" style="110" bestFit="1" customWidth="1"/>
    <col min="1801" max="1801" width="5" style="110" bestFit="1" customWidth="1"/>
    <col min="1802" max="1810" width="8" style="110" bestFit="1" customWidth="1"/>
    <col min="1811" max="1814" width="12" style="110" bestFit="1" customWidth="1"/>
    <col min="1815" max="2049" width="9.109375" style="110"/>
    <col min="2050" max="2050" width="8" style="110" bestFit="1" customWidth="1"/>
    <col min="2051" max="2051" width="20" style="110" bestFit="1" customWidth="1"/>
    <col min="2052" max="2052" width="15" style="110" bestFit="1" customWidth="1"/>
    <col min="2053" max="2053" width="35" style="110" bestFit="1" customWidth="1"/>
    <col min="2054" max="2056" width="10" style="110" bestFit="1" customWidth="1"/>
    <col min="2057" max="2057" width="5" style="110" bestFit="1" customWidth="1"/>
    <col min="2058" max="2066" width="8" style="110" bestFit="1" customWidth="1"/>
    <col min="2067" max="2070" width="12" style="110" bestFit="1" customWidth="1"/>
    <col min="2071" max="2305" width="9.109375" style="110"/>
    <col min="2306" max="2306" width="8" style="110" bestFit="1" customWidth="1"/>
    <col min="2307" max="2307" width="20" style="110" bestFit="1" customWidth="1"/>
    <col min="2308" max="2308" width="15" style="110" bestFit="1" customWidth="1"/>
    <col min="2309" max="2309" width="35" style="110" bestFit="1" customWidth="1"/>
    <col min="2310" max="2312" width="10" style="110" bestFit="1" customWidth="1"/>
    <col min="2313" max="2313" width="5" style="110" bestFit="1" customWidth="1"/>
    <col min="2314" max="2322" width="8" style="110" bestFit="1" customWidth="1"/>
    <col min="2323" max="2326" width="12" style="110" bestFit="1" customWidth="1"/>
    <col min="2327" max="2561" width="9.109375" style="110"/>
    <col min="2562" max="2562" width="8" style="110" bestFit="1" customWidth="1"/>
    <col min="2563" max="2563" width="20" style="110" bestFit="1" customWidth="1"/>
    <col min="2564" max="2564" width="15" style="110" bestFit="1" customWidth="1"/>
    <col min="2565" max="2565" width="35" style="110" bestFit="1" customWidth="1"/>
    <col min="2566" max="2568" width="10" style="110" bestFit="1" customWidth="1"/>
    <col min="2569" max="2569" width="5" style="110" bestFit="1" customWidth="1"/>
    <col min="2570" max="2578" width="8" style="110" bestFit="1" customWidth="1"/>
    <col min="2579" max="2582" width="12" style="110" bestFit="1" customWidth="1"/>
    <col min="2583" max="2817" width="9.109375" style="110"/>
    <col min="2818" max="2818" width="8" style="110" bestFit="1" customWidth="1"/>
    <col min="2819" max="2819" width="20" style="110" bestFit="1" customWidth="1"/>
    <col min="2820" max="2820" width="15" style="110" bestFit="1" customWidth="1"/>
    <col min="2821" max="2821" width="35" style="110" bestFit="1" customWidth="1"/>
    <col min="2822" max="2824" width="10" style="110" bestFit="1" customWidth="1"/>
    <col min="2825" max="2825" width="5" style="110" bestFit="1" customWidth="1"/>
    <col min="2826" max="2834" width="8" style="110" bestFit="1" customWidth="1"/>
    <col min="2835" max="2838" width="12" style="110" bestFit="1" customWidth="1"/>
    <col min="2839" max="3073" width="9.109375" style="110"/>
    <col min="3074" max="3074" width="8" style="110" bestFit="1" customWidth="1"/>
    <col min="3075" max="3075" width="20" style="110" bestFit="1" customWidth="1"/>
    <col min="3076" max="3076" width="15" style="110" bestFit="1" customWidth="1"/>
    <col min="3077" max="3077" width="35" style="110" bestFit="1" customWidth="1"/>
    <col min="3078" max="3080" width="10" style="110" bestFit="1" customWidth="1"/>
    <col min="3081" max="3081" width="5" style="110" bestFit="1" customWidth="1"/>
    <col min="3082" max="3090" width="8" style="110" bestFit="1" customWidth="1"/>
    <col min="3091" max="3094" width="12" style="110" bestFit="1" customWidth="1"/>
    <col min="3095" max="3329" width="9.109375" style="110"/>
    <col min="3330" max="3330" width="8" style="110" bestFit="1" customWidth="1"/>
    <col min="3331" max="3331" width="20" style="110" bestFit="1" customWidth="1"/>
    <col min="3332" max="3332" width="15" style="110" bestFit="1" customWidth="1"/>
    <col min="3333" max="3333" width="35" style="110" bestFit="1" customWidth="1"/>
    <col min="3334" max="3336" width="10" style="110" bestFit="1" customWidth="1"/>
    <col min="3337" max="3337" width="5" style="110" bestFit="1" customWidth="1"/>
    <col min="3338" max="3346" width="8" style="110" bestFit="1" customWidth="1"/>
    <col min="3347" max="3350" width="12" style="110" bestFit="1" customWidth="1"/>
    <col min="3351" max="3585" width="9.109375" style="110"/>
    <col min="3586" max="3586" width="8" style="110" bestFit="1" customWidth="1"/>
    <col min="3587" max="3587" width="20" style="110" bestFit="1" customWidth="1"/>
    <col min="3588" max="3588" width="15" style="110" bestFit="1" customWidth="1"/>
    <col min="3589" max="3589" width="35" style="110" bestFit="1" customWidth="1"/>
    <col min="3590" max="3592" width="10" style="110" bestFit="1" customWidth="1"/>
    <col min="3593" max="3593" width="5" style="110" bestFit="1" customWidth="1"/>
    <col min="3594" max="3602" width="8" style="110" bestFit="1" customWidth="1"/>
    <col min="3603" max="3606" width="12" style="110" bestFit="1" customWidth="1"/>
    <col min="3607" max="3841" width="9.109375" style="110"/>
    <col min="3842" max="3842" width="8" style="110" bestFit="1" customWidth="1"/>
    <col min="3843" max="3843" width="20" style="110" bestFit="1" customWidth="1"/>
    <col min="3844" max="3844" width="15" style="110" bestFit="1" customWidth="1"/>
    <col min="3845" max="3845" width="35" style="110" bestFit="1" customWidth="1"/>
    <col min="3846" max="3848" width="10" style="110" bestFit="1" customWidth="1"/>
    <col min="3849" max="3849" width="5" style="110" bestFit="1" customWidth="1"/>
    <col min="3850" max="3858" width="8" style="110" bestFit="1" customWidth="1"/>
    <col min="3859" max="3862" width="12" style="110" bestFit="1" customWidth="1"/>
    <col min="3863" max="4097" width="9.109375" style="110"/>
    <col min="4098" max="4098" width="8" style="110" bestFit="1" customWidth="1"/>
    <col min="4099" max="4099" width="20" style="110" bestFit="1" customWidth="1"/>
    <col min="4100" max="4100" width="15" style="110" bestFit="1" customWidth="1"/>
    <col min="4101" max="4101" width="35" style="110" bestFit="1" customWidth="1"/>
    <col min="4102" max="4104" width="10" style="110" bestFit="1" customWidth="1"/>
    <col min="4105" max="4105" width="5" style="110" bestFit="1" customWidth="1"/>
    <col min="4106" max="4114" width="8" style="110" bestFit="1" customWidth="1"/>
    <col min="4115" max="4118" width="12" style="110" bestFit="1" customWidth="1"/>
    <col min="4119" max="4353" width="9.109375" style="110"/>
    <col min="4354" max="4354" width="8" style="110" bestFit="1" customWidth="1"/>
    <col min="4355" max="4355" width="20" style="110" bestFit="1" customWidth="1"/>
    <col min="4356" max="4356" width="15" style="110" bestFit="1" customWidth="1"/>
    <col min="4357" max="4357" width="35" style="110" bestFit="1" customWidth="1"/>
    <col min="4358" max="4360" width="10" style="110" bestFit="1" customWidth="1"/>
    <col min="4361" max="4361" width="5" style="110" bestFit="1" customWidth="1"/>
    <col min="4362" max="4370" width="8" style="110" bestFit="1" customWidth="1"/>
    <col min="4371" max="4374" width="12" style="110" bestFit="1" customWidth="1"/>
    <col min="4375" max="4609" width="9.109375" style="110"/>
    <col min="4610" max="4610" width="8" style="110" bestFit="1" customWidth="1"/>
    <col min="4611" max="4611" width="20" style="110" bestFit="1" customWidth="1"/>
    <col min="4612" max="4612" width="15" style="110" bestFit="1" customWidth="1"/>
    <col min="4613" max="4613" width="35" style="110" bestFit="1" customWidth="1"/>
    <col min="4614" max="4616" width="10" style="110" bestFit="1" customWidth="1"/>
    <col min="4617" max="4617" width="5" style="110" bestFit="1" customWidth="1"/>
    <col min="4618" max="4626" width="8" style="110" bestFit="1" customWidth="1"/>
    <col min="4627" max="4630" width="12" style="110" bestFit="1" customWidth="1"/>
    <col min="4631" max="4865" width="9.109375" style="110"/>
    <col min="4866" max="4866" width="8" style="110" bestFit="1" customWidth="1"/>
    <col min="4867" max="4867" width="20" style="110" bestFit="1" customWidth="1"/>
    <col min="4868" max="4868" width="15" style="110" bestFit="1" customWidth="1"/>
    <col min="4869" max="4869" width="35" style="110" bestFit="1" customWidth="1"/>
    <col min="4870" max="4872" width="10" style="110" bestFit="1" customWidth="1"/>
    <col min="4873" max="4873" width="5" style="110" bestFit="1" customWidth="1"/>
    <col min="4874" max="4882" width="8" style="110" bestFit="1" customWidth="1"/>
    <col min="4883" max="4886" width="12" style="110" bestFit="1" customWidth="1"/>
    <col min="4887" max="5121" width="9.109375" style="110"/>
    <col min="5122" max="5122" width="8" style="110" bestFit="1" customWidth="1"/>
    <col min="5123" max="5123" width="20" style="110" bestFit="1" customWidth="1"/>
    <col min="5124" max="5124" width="15" style="110" bestFit="1" customWidth="1"/>
    <col min="5125" max="5125" width="35" style="110" bestFit="1" customWidth="1"/>
    <col min="5126" max="5128" width="10" style="110" bestFit="1" customWidth="1"/>
    <col min="5129" max="5129" width="5" style="110" bestFit="1" customWidth="1"/>
    <col min="5130" max="5138" width="8" style="110" bestFit="1" customWidth="1"/>
    <col min="5139" max="5142" width="12" style="110" bestFit="1" customWidth="1"/>
    <col min="5143" max="5377" width="9.109375" style="110"/>
    <col min="5378" max="5378" width="8" style="110" bestFit="1" customWidth="1"/>
    <col min="5379" max="5379" width="20" style="110" bestFit="1" customWidth="1"/>
    <col min="5380" max="5380" width="15" style="110" bestFit="1" customWidth="1"/>
    <col min="5381" max="5381" width="35" style="110" bestFit="1" customWidth="1"/>
    <col min="5382" max="5384" width="10" style="110" bestFit="1" customWidth="1"/>
    <col min="5385" max="5385" width="5" style="110" bestFit="1" customWidth="1"/>
    <col min="5386" max="5394" width="8" style="110" bestFit="1" customWidth="1"/>
    <col min="5395" max="5398" width="12" style="110" bestFit="1" customWidth="1"/>
    <col min="5399" max="5633" width="9.109375" style="110"/>
    <col min="5634" max="5634" width="8" style="110" bestFit="1" customWidth="1"/>
    <col min="5635" max="5635" width="20" style="110" bestFit="1" customWidth="1"/>
    <col min="5636" max="5636" width="15" style="110" bestFit="1" customWidth="1"/>
    <col min="5637" max="5637" width="35" style="110" bestFit="1" customWidth="1"/>
    <col min="5638" max="5640" width="10" style="110" bestFit="1" customWidth="1"/>
    <col min="5641" max="5641" width="5" style="110" bestFit="1" customWidth="1"/>
    <col min="5642" max="5650" width="8" style="110" bestFit="1" customWidth="1"/>
    <col min="5651" max="5654" width="12" style="110" bestFit="1" customWidth="1"/>
    <col min="5655" max="5889" width="9.109375" style="110"/>
    <col min="5890" max="5890" width="8" style="110" bestFit="1" customWidth="1"/>
    <col min="5891" max="5891" width="20" style="110" bestFit="1" customWidth="1"/>
    <col min="5892" max="5892" width="15" style="110" bestFit="1" customWidth="1"/>
    <col min="5893" max="5893" width="35" style="110" bestFit="1" customWidth="1"/>
    <col min="5894" max="5896" width="10" style="110" bestFit="1" customWidth="1"/>
    <col min="5897" max="5897" width="5" style="110" bestFit="1" customWidth="1"/>
    <col min="5898" max="5906" width="8" style="110" bestFit="1" customWidth="1"/>
    <col min="5907" max="5910" width="12" style="110" bestFit="1" customWidth="1"/>
    <col min="5911" max="6145" width="9.109375" style="110"/>
    <col min="6146" max="6146" width="8" style="110" bestFit="1" customWidth="1"/>
    <col min="6147" max="6147" width="20" style="110" bestFit="1" customWidth="1"/>
    <col min="6148" max="6148" width="15" style="110" bestFit="1" customWidth="1"/>
    <col min="6149" max="6149" width="35" style="110" bestFit="1" customWidth="1"/>
    <col min="6150" max="6152" width="10" style="110" bestFit="1" customWidth="1"/>
    <col min="6153" max="6153" width="5" style="110" bestFit="1" customWidth="1"/>
    <col min="6154" max="6162" width="8" style="110" bestFit="1" customWidth="1"/>
    <col min="6163" max="6166" width="12" style="110" bestFit="1" customWidth="1"/>
    <col min="6167" max="6401" width="9.109375" style="110"/>
    <col min="6402" max="6402" width="8" style="110" bestFit="1" customWidth="1"/>
    <col min="6403" max="6403" width="20" style="110" bestFit="1" customWidth="1"/>
    <col min="6404" max="6404" width="15" style="110" bestFit="1" customWidth="1"/>
    <col min="6405" max="6405" width="35" style="110" bestFit="1" customWidth="1"/>
    <col min="6406" max="6408" width="10" style="110" bestFit="1" customWidth="1"/>
    <col min="6409" max="6409" width="5" style="110" bestFit="1" customWidth="1"/>
    <col min="6410" max="6418" width="8" style="110" bestFit="1" customWidth="1"/>
    <col min="6419" max="6422" width="12" style="110" bestFit="1" customWidth="1"/>
    <col min="6423" max="6657" width="9.109375" style="110"/>
    <col min="6658" max="6658" width="8" style="110" bestFit="1" customWidth="1"/>
    <col min="6659" max="6659" width="20" style="110" bestFit="1" customWidth="1"/>
    <col min="6660" max="6660" width="15" style="110" bestFit="1" customWidth="1"/>
    <col min="6661" max="6661" width="35" style="110" bestFit="1" customWidth="1"/>
    <col min="6662" max="6664" width="10" style="110" bestFit="1" customWidth="1"/>
    <col min="6665" max="6665" width="5" style="110" bestFit="1" customWidth="1"/>
    <col min="6666" max="6674" width="8" style="110" bestFit="1" customWidth="1"/>
    <col min="6675" max="6678" width="12" style="110" bestFit="1" customWidth="1"/>
    <col min="6679" max="6913" width="9.109375" style="110"/>
    <col min="6914" max="6914" width="8" style="110" bestFit="1" customWidth="1"/>
    <col min="6915" max="6915" width="20" style="110" bestFit="1" customWidth="1"/>
    <col min="6916" max="6916" width="15" style="110" bestFit="1" customWidth="1"/>
    <col min="6917" max="6917" width="35" style="110" bestFit="1" customWidth="1"/>
    <col min="6918" max="6920" width="10" style="110" bestFit="1" customWidth="1"/>
    <col min="6921" max="6921" width="5" style="110" bestFit="1" customWidth="1"/>
    <col min="6922" max="6930" width="8" style="110" bestFit="1" customWidth="1"/>
    <col min="6931" max="6934" width="12" style="110" bestFit="1" customWidth="1"/>
    <col min="6935" max="7169" width="9.109375" style="110"/>
    <col min="7170" max="7170" width="8" style="110" bestFit="1" customWidth="1"/>
    <col min="7171" max="7171" width="20" style="110" bestFit="1" customWidth="1"/>
    <col min="7172" max="7172" width="15" style="110" bestFit="1" customWidth="1"/>
    <col min="7173" max="7173" width="35" style="110" bestFit="1" customWidth="1"/>
    <col min="7174" max="7176" width="10" style="110" bestFit="1" customWidth="1"/>
    <col min="7177" max="7177" width="5" style="110" bestFit="1" customWidth="1"/>
    <col min="7178" max="7186" width="8" style="110" bestFit="1" customWidth="1"/>
    <col min="7187" max="7190" width="12" style="110" bestFit="1" customWidth="1"/>
    <col min="7191" max="7425" width="9.109375" style="110"/>
    <col min="7426" max="7426" width="8" style="110" bestFit="1" customWidth="1"/>
    <col min="7427" max="7427" width="20" style="110" bestFit="1" customWidth="1"/>
    <col min="7428" max="7428" width="15" style="110" bestFit="1" customWidth="1"/>
    <col min="7429" max="7429" width="35" style="110" bestFit="1" customWidth="1"/>
    <col min="7430" max="7432" width="10" style="110" bestFit="1" customWidth="1"/>
    <col min="7433" max="7433" width="5" style="110" bestFit="1" customWidth="1"/>
    <col min="7434" max="7442" width="8" style="110" bestFit="1" customWidth="1"/>
    <col min="7443" max="7446" width="12" style="110" bestFit="1" customWidth="1"/>
    <col min="7447" max="7681" width="9.109375" style="110"/>
    <col min="7682" max="7682" width="8" style="110" bestFit="1" customWidth="1"/>
    <col min="7683" max="7683" width="20" style="110" bestFit="1" customWidth="1"/>
    <col min="7684" max="7684" width="15" style="110" bestFit="1" customWidth="1"/>
    <col min="7685" max="7685" width="35" style="110" bestFit="1" customWidth="1"/>
    <col min="7686" max="7688" width="10" style="110" bestFit="1" customWidth="1"/>
    <col min="7689" max="7689" width="5" style="110" bestFit="1" customWidth="1"/>
    <col min="7690" max="7698" width="8" style="110" bestFit="1" customWidth="1"/>
    <col min="7699" max="7702" width="12" style="110" bestFit="1" customWidth="1"/>
    <col min="7703" max="7937" width="9.109375" style="110"/>
    <col min="7938" max="7938" width="8" style="110" bestFit="1" customWidth="1"/>
    <col min="7939" max="7939" width="20" style="110" bestFit="1" customWidth="1"/>
    <col min="7940" max="7940" width="15" style="110" bestFit="1" customWidth="1"/>
    <col min="7941" max="7941" width="35" style="110" bestFit="1" customWidth="1"/>
    <col min="7942" max="7944" width="10" style="110" bestFit="1" customWidth="1"/>
    <col min="7945" max="7945" width="5" style="110" bestFit="1" customWidth="1"/>
    <col min="7946" max="7954" width="8" style="110" bestFit="1" customWidth="1"/>
    <col min="7955" max="7958" width="12" style="110" bestFit="1" customWidth="1"/>
    <col min="7959" max="8193" width="9.109375" style="110"/>
    <col min="8194" max="8194" width="8" style="110" bestFit="1" customWidth="1"/>
    <col min="8195" max="8195" width="20" style="110" bestFit="1" customWidth="1"/>
    <col min="8196" max="8196" width="15" style="110" bestFit="1" customWidth="1"/>
    <col min="8197" max="8197" width="35" style="110" bestFit="1" customWidth="1"/>
    <col min="8198" max="8200" width="10" style="110" bestFit="1" customWidth="1"/>
    <col min="8201" max="8201" width="5" style="110" bestFit="1" customWidth="1"/>
    <col min="8202" max="8210" width="8" style="110" bestFit="1" customWidth="1"/>
    <col min="8211" max="8214" width="12" style="110" bestFit="1" customWidth="1"/>
    <col min="8215" max="8449" width="9.109375" style="110"/>
    <col min="8450" max="8450" width="8" style="110" bestFit="1" customWidth="1"/>
    <col min="8451" max="8451" width="20" style="110" bestFit="1" customWidth="1"/>
    <col min="8452" max="8452" width="15" style="110" bestFit="1" customWidth="1"/>
    <col min="8453" max="8453" width="35" style="110" bestFit="1" customWidth="1"/>
    <col min="8454" max="8456" width="10" style="110" bestFit="1" customWidth="1"/>
    <col min="8457" max="8457" width="5" style="110" bestFit="1" customWidth="1"/>
    <col min="8458" max="8466" width="8" style="110" bestFit="1" customWidth="1"/>
    <col min="8467" max="8470" width="12" style="110" bestFit="1" customWidth="1"/>
    <col min="8471" max="8705" width="9.109375" style="110"/>
    <col min="8706" max="8706" width="8" style="110" bestFit="1" customWidth="1"/>
    <col min="8707" max="8707" width="20" style="110" bestFit="1" customWidth="1"/>
    <col min="8708" max="8708" width="15" style="110" bestFit="1" customWidth="1"/>
    <col min="8709" max="8709" width="35" style="110" bestFit="1" customWidth="1"/>
    <col min="8710" max="8712" width="10" style="110" bestFit="1" customWidth="1"/>
    <col min="8713" max="8713" width="5" style="110" bestFit="1" customWidth="1"/>
    <col min="8714" max="8722" width="8" style="110" bestFit="1" customWidth="1"/>
    <col min="8723" max="8726" width="12" style="110" bestFit="1" customWidth="1"/>
    <col min="8727" max="8961" width="9.109375" style="110"/>
    <col min="8962" max="8962" width="8" style="110" bestFit="1" customWidth="1"/>
    <col min="8963" max="8963" width="20" style="110" bestFit="1" customWidth="1"/>
    <col min="8964" max="8964" width="15" style="110" bestFit="1" customWidth="1"/>
    <col min="8965" max="8965" width="35" style="110" bestFit="1" customWidth="1"/>
    <col min="8966" max="8968" width="10" style="110" bestFit="1" customWidth="1"/>
    <col min="8969" max="8969" width="5" style="110" bestFit="1" customWidth="1"/>
    <col min="8970" max="8978" width="8" style="110" bestFit="1" customWidth="1"/>
    <col min="8979" max="8982" width="12" style="110" bestFit="1" customWidth="1"/>
    <col min="8983" max="9217" width="9.109375" style="110"/>
    <col min="9218" max="9218" width="8" style="110" bestFit="1" customWidth="1"/>
    <col min="9219" max="9219" width="20" style="110" bestFit="1" customWidth="1"/>
    <col min="9220" max="9220" width="15" style="110" bestFit="1" customWidth="1"/>
    <col min="9221" max="9221" width="35" style="110" bestFit="1" customWidth="1"/>
    <col min="9222" max="9224" width="10" style="110" bestFit="1" customWidth="1"/>
    <col min="9225" max="9225" width="5" style="110" bestFit="1" customWidth="1"/>
    <col min="9226" max="9234" width="8" style="110" bestFit="1" customWidth="1"/>
    <col min="9235" max="9238" width="12" style="110" bestFit="1" customWidth="1"/>
    <col min="9239" max="9473" width="9.109375" style="110"/>
    <col min="9474" max="9474" width="8" style="110" bestFit="1" customWidth="1"/>
    <col min="9475" max="9475" width="20" style="110" bestFit="1" customWidth="1"/>
    <col min="9476" max="9476" width="15" style="110" bestFit="1" customWidth="1"/>
    <col min="9477" max="9477" width="35" style="110" bestFit="1" customWidth="1"/>
    <col min="9478" max="9480" width="10" style="110" bestFit="1" customWidth="1"/>
    <col min="9481" max="9481" width="5" style="110" bestFit="1" customWidth="1"/>
    <col min="9482" max="9490" width="8" style="110" bestFit="1" customWidth="1"/>
    <col min="9491" max="9494" width="12" style="110" bestFit="1" customWidth="1"/>
    <col min="9495" max="9729" width="9.109375" style="110"/>
    <col min="9730" max="9730" width="8" style="110" bestFit="1" customWidth="1"/>
    <col min="9731" max="9731" width="20" style="110" bestFit="1" customWidth="1"/>
    <col min="9732" max="9732" width="15" style="110" bestFit="1" customWidth="1"/>
    <col min="9733" max="9733" width="35" style="110" bestFit="1" customWidth="1"/>
    <col min="9734" max="9736" width="10" style="110" bestFit="1" customWidth="1"/>
    <col min="9737" max="9737" width="5" style="110" bestFit="1" customWidth="1"/>
    <col min="9738" max="9746" width="8" style="110" bestFit="1" customWidth="1"/>
    <col min="9747" max="9750" width="12" style="110" bestFit="1" customWidth="1"/>
    <col min="9751" max="9985" width="9.109375" style="110"/>
    <col min="9986" max="9986" width="8" style="110" bestFit="1" customWidth="1"/>
    <col min="9987" max="9987" width="20" style="110" bestFit="1" customWidth="1"/>
    <col min="9988" max="9988" width="15" style="110" bestFit="1" customWidth="1"/>
    <col min="9989" max="9989" width="35" style="110" bestFit="1" customWidth="1"/>
    <col min="9990" max="9992" width="10" style="110" bestFit="1" customWidth="1"/>
    <col min="9993" max="9993" width="5" style="110" bestFit="1" customWidth="1"/>
    <col min="9994" max="10002" width="8" style="110" bestFit="1" customWidth="1"/>
    <col min="10003" max="10006" width="12" style="110" bestFit="1" customWidth="1"/>
    <col min="10007" max="10241" width="9.109375" style="110"/>
    <col min="10242" max="10242" width="8" style="110" bestFit="1" customWidth="1"/>
    <col min="10243" max="10243" width="20" style="110" bestFit="1" customWidth="1"/>
    <col min="10244" max="10244" width="15" style="110" bestFit="1" customWidth="1"/>
    <col min="10245" max="10245" width="35" style="110" bestFit="1" customWidth="1"/>
    <col min="10246" max="10248" width="10" style="110" bestFit="1" customWidth="1"/>
    <col min="10249" max="10249" width="5" style="110" bestFit="1" customWidth="1"/>
    <col min="10250" max="10258" width="8" style="110" bestFit="1" customWidth="1"/>
    <col min="10259" max="10262" width="12" style="110" bestFit="1" customWidth="1"/>
    <col min="10263" max="10497" width="9.109375" style="110"/>
    <col min="10498" max="10498" width="8" style="110" bestFit="1" customWidth="1"/>
    <col min="10499" max="10499" width="20" style="110" bestFit="1" customWidth="1"/>
    <col min="10500" max="10500" width="15" style="110" bestFit="1" customWidth="1"/>
    <col min="10501" max="10501" width="35" style="110" bestFit="1" customWidth="1"/>
    <col min="10502" max="10504" width="10" style="110" bestFit="1" customWidth="1"/>
    <col min="10505" max="10505" width="5" style="110" bestFit="1" customWidth="1"/>
    <col min="10506" max="10514" width="8" style="110" bestFit="1" customWidth="1"/>
    <col min="10515" max="10518" width="12" style="110" bestFit="1" customWidth="1"/>
    <col min="10519" max="10753" width="9.109375" style="110"/>
    <col min="10754" max="10754" width="8" style="110" bestFit="1" customWidth="1"/>
    <col min="10755" max="10755" width="20" style="110" bestFit="1" customWidth="1"/>
    <col min="10756" max="10756" width="15" style="110" bestFit="1" customWidth="1"/>
    <col min="10757" max="10757" width="35" style="110" bestFit="1" customWidth="1"/>
    <col min="10758" max="10760" width="10" style="110" bestFit="1" customWidth="1"/>
    <col min="10761" max="10761" width="5" style="110" bestFit="1" customWidth="1"/>
    <col min="10762" max="10770" width="8" style="110" bestFit="1" customWidth="1"/>
    <col min="10771" max="10774" width="12" style="110" bestFit="1" customWidth="1"/>
    <col min="10775" max="11009" width="9.109375" style="110"/>
    <col min="11010" max="11010" width="8" style="110" bestFit="1" customWidth="1"/>
    <col min="11011" max="11011" width="20" style="110" bestFit="1" customWidth="1"/>
    <col min="11012" max="11012" width="15" style="110" bestFit="1" customWidth="1"/>
    <col min="11013" max="11013" width="35" style="110" bestFit="1" customWidth="1"/>
    <col min="11014" max="11016" width="10" style="110" bestFit="1" customWidth="1"/>
    <col min="11017" max="11017" width="5" style="110" bestFit="1" customWidth="1"/>
    <col min="11018" max="11026" width="8" style="110" bestFit="1" customWidth="1"/>
    <col min="11027" max="11030" width="12" style="110" bestFit="1" customWidth="1"/>
    <col min="11031" max="11265" width="9.109375" style="110"/>
    <col min="11266" max="11266" width="8" style="110" bestFit="1" customWidth="1"/>
    <col min="11267" max="11267" width="20" style="110" bestFit="1" customWidth="1"/>
    <col min="11268" max="11268" width="15" style="110" bestFit="1" customWidth="1"/>
    <col min="11269" max="11269" width="35" style="110" bestFit="1" customWidth="1"/>
    <col min="11270" max="11272" width="10" style="110" bestFit="1" customWidth="1"/>
    <col min="11273" max="11273" width="5" style="110" bestFit="1" customWidth="1"/>
    <col min="11274" max="11282" width="8" style="110" bestFit="1" customWidth="1"/>
    <col min="11283" max="11286" width="12" style="110" bestFit="1" customWidth="1"/>
    <col min="11287" max="11521" width="9.109375" style="110"/>
    <col min="11522" max="11522" width="8" style="110" bestFit="1" customWidth="1"/>
    <col min="11523" max="11523" width="20" style="110" bestFit="1" customWidth="1"/>
    <col min="11524" max="11524" width="15" style="110" bestFit="1" customWidth="1"/>
    <col min="11525" max="11525" width="35" style="110" bestFit="1" customWidth="1"/>
    <col min="11526" max="11528" width="10" style="110" bestFit="1" customWidth="1"/>
    <col min="11529" max="11529" width="5" style="110" bestFit="1" customWidth="1"/>
    <col min="11530" max="11538" width="8" style="110" bestFit="1" customWidth="1"/>
    <col min="11539" max="11542" width="12" style="110" bestFit="1" customWidth="1"/>
    <col min="11543" max="11777" width="9.109375" style="110"/>
    <col min="11778" max="11778" width="8" style="110" bestFit="1" customWidth="1"/>
    <col min="11779" max="11779" width="20" style="110" bestFit="1" customWidth="1"/>
    <col min="11780" max="11780" width="15" style="110" bestFit="1" customWidth="1"/>
    <col min="11781" max="11781" width="35" style="110" bestFit="1" customWidth="1"/>
    <col min="11782" max="11784" width="10" style="110" bestFit="1" customWidth="1"/>
    <col min="11785" max="11785" width="5" style="110" bestFit="1" customWidth="1"/>
    <col min="11786" max="11794" width="8" style="110" bestFit="1" customWidth="1"/>
    <col min="11795" max="11798" width="12" style="110" bestFit="1" customWidth="1"/>
    <col min="11799" max="12033" width="9.109375" style="110"/>
    <col min="12034" max="12034" width="8" style="110" bestFit="1" customWidth="1"/>
    <col min="12035" max="12035" width="20" style="110" bestFit="1" customWidth="1"/>
    <col min="12036" max="12036" width="15" style="110" bestFit="1" customWidth="1"/>
    <col min="12037" max="12037" width="35" style="110" bestFit="1" customWidth="1"/>
    <col min="12038" max="12040" width="10" style="110" bestFit="1" customWidth="1"/>
    <col min="12041" max="12041" width="5" style="110" bestFit="1" customWidth="1"/>
    <col min="12042" max="12050" width="8" style="110" bestFit="1" customWidth="1"/>
    <col min="12051" max="12054" width="12" style="110" bestFit="1" customWidth="1"/>
    <col min="12055" max="12289" width="9.109375" style="110"/>
    <col min="12290" max="12290" width="8" style="110" bestFit="1" customWidth="1"/>
    <col min="12291" max="12291" width="20" style="110" bestFit="1" customWidth="1"/>
    <col min="12292" max="12292" width="15" style="110" bestFit="1" customWidth="1"/>
    <col min="12293" max="12293" width="35" style="110" bestFit="1" customWidth="1"/>
    <col min="12294" max="12296" width="10" style="110" bestFit="1" customWidth="1"/>
    <col min="12297" max="12297" width="5" style="110" bestFit="1" customWidth="1"/>
    <col min="12298" max="12306" width="8" style="110" bestFit="1" customWidth="1"/>
    <col min="12307" max="12310" width="12" style="110" bestFit="1" customWidth="1"/>
    <col min="12311" max="12545" width="9.109375" style="110"/>
    <col min="12546" max="12546" width="8" style="110" bestFit="1" customWidth="1"/>
    <col min="12547" max="12547" width="20" style="110" bestFit="1" customWidth="1"/>
    <col min="12548" max="12548" width="15" style="110" bestFit="1" customWidth="1"/>
    <col min="12549" max="12549" width="35" style="110" bestFit="1" customWidth="1"/>
    <col min="12550" max="12552" width="10" style="110" bestFit="1" customWidth="1"/>
    <col min="12553" max="12553" width="5" style="110" bestFit="1" customWidth="1"/>
    <col min="12554" max="12562" width="8" style="110" bestFit="1" customWidth="1"/>
    <col min="12563" max="12566" width="12" style="110" bestFit="1" customWidth="1"/>
    <col min="12567" max="12801" width="9.109375" style="110"/>
    <col min="12802" max="12802" width="8" style="110" bestFit="1" customWidth="1"/>
    <col min="12803" max="12803" width="20" style="110" bestFit="1" customWidth="1"/>
    <col min="12804" max="12804" width="15" style="110" bestFit="1" customWidth="1"/>
    <col min="12805" max="12805" width="35" style="110" bestFit="1" customWidth="1"/>
    <col min="12806" max="12808" width="10" style="110" bestFit="1" customWidth="1"/>
    <col min="12809" max="12809" width="5" style="110" bestFit="1" customWidth="1"/>
    <col min="12810" max="12818" width="8" style="110" bestFit="1" customWidth="1"/>
    <col min="12819" max="12822" width="12" style="110" bestFit="1" customWidth="1"/>
    <col min="12823" max="13057" width="9.109375" style="110"/>
    <col min="13058" max="13058" width="8" style="110" bestFit="1" customWidth="1"/>
    <col min="13059" max="13059" width="20" style="110" bestFit="1" customWidth="1"/>
    <col min="13060" max="13060" width="15" style="110" bestFit="1" customWidth="1"/>
    <col min="13061" max="13061" width="35" style="110" bestFit="1" customWidth="1"/>
    <col min="13062" max="13064" width="10" style="110" bestFit="1" customWidth="1"/>
    <col min="13065" max="13065" width="5" style="110" bestFit="1" customWidth="1"/>
    <col min="13066" max="13074" width="8" style="110" bestFit="1" customWidth="1"/>
    <col min="13075" max="13078" width="12" style="110" bestFit="1" customWidth="1"/>
    <col min="13079" max="13313" width="9.109375" style="110"/>
    <col min="13314" max="13314" width="8" style="110" bestFit="1" customWidth="1"/>
    <col min="13315" max="13315" width="20" style="110" bestFit="1" customWidth="1"/>
    <col min="13316" max="13316" width="15" style="110" bestFit="1" customWidth="1"/>
    <col min="13317" max="13317" width="35" style="110" bestFit="1" customWidth="1"/>
    <col min="13318" max="13320" width="10" style="110" bestFit="1" customWidth="1"/>
    <col min="13321" max="13321" width="5" style="110" bestFit="1" customWidth="1"/>
    <col min="13322" max="13330" width="8" style="110" bestFit="1" customWidth="1"/>
    <col min="13331" max="13334" width="12" style="110" bestFit="1" customWidth="1"/>
    <col min="13335" max="13569" width="9.109375" style="110"/>
    <col min="13570" max="13570" width="8" style="110" bestFit="1" customWidth="1"/>
    <col min="13571" max="13571" width="20" style="110" bestFit="1" customWidth="1"/>
    <col min="13572" max="13572" width="15" style="110" bestFit="1" customWidth="1"/>
    <col min="13573" max="13573" width="35" style="110" bestFit="1" customWidth="1"/>
    <col min="13574" max="13576" width="10" style="110" bestFit="1" customWidth="1"/>
    <col min="13577" max="13577" width="5" style="110" bestFit="1" customWidth="1"/>
    <col min="13578" max="13586" width="8" style="110" bestFit="1" customWidth="1"/>
    <col min="13587" max="13590" width="12" style="110" bestFit="1" customWidth="1"/>
    <col min="13591" max="13825" width="9.109375" style="110"/>
    <col min="13826" max="13826" width="8" style="110" bestFit="1" customWidth="1"/>
    <col min="13827" max="13827" width="20" style="110" bestFit="1" customWidth="1"/>
    <col min="13828" max="13828" width="15" style="110" bestFit="1" customWidth="1"/>
    <col min="13829" max="13829" width="35" style="110" bestFit="1" customWidth="1"/>
    <col min="13830" max="13832" width="10" style="110" bestFit="1" customWidth="1"/>
    <col min="13833" max="13833" width="5" style="110" bestFit="1" customWidth="1"/>
    <col min="13834" max="13842" width="8" style="110" bestFit="1" customWidth="1"/>
    <col min="13843" max="13846" width="12" style="110" bestFit="1" customWidth="1"/>
    <col min="13847" max="14081" width="9.109375" style="110"/>
    <col min="14082" max="14082" width="8" style="110" bestFit="1" customWidth="1"/>
    <col min="14083" max="14083" width="20" style="110" bestFit="1" customWidth="1"/>
    <col min="14084" max="14084" width="15" style="110" bestFit="1" customWidth="1"/>
    <col min="14085" max="14085" width="35" style="110" bestFit="1" customWidth="1"/>
    <col min="14086" max="14088" width="10" style="110" bestFit="1" customWidth="1"/>
    <col min="14089" max="14089" width="5" style="110" bestFit="1" customWidth="1"/>
    <col min="14090" max="14098" width="8" style="110" bestFit="1" customWidth="1"/>
    <col min="14099" max="14102" width="12" style="110" bestFit="1" customWidth="1"/>
    <col min="14103" max="14337" width="9.109375" style="110"/>
    <col min="14338" max="14338" width="8" style="110" bestFit="1" customWidth="1"/>
    <col min="14339" max="14339" width="20" style="110" bestFit="1" customWidth="1"/>
    <col min="14340" max="14340" width="15" style="110" bestFit="1" customWidth="1"/>
    <col min="14341" max="14341" width="35" style="110" bestFit="1" customWidth="1"/>
    <col min="14342" max="14344" width="10" style="110" bestFit="1" customWidth="1"/>
    <col min="14345" max="14345" width="5" style="110" bestFit="1" customWidth="1"/>
    <col min="14346" max="14354" width="8" style="110" bestFit="1" customWidth="1"/>
    <col min="14355" max="14358" width="12" style="110" bestFit="1" customWidth="1"/>
    <col min="14359" max="14593" width="9.109375" style="110"/>
    <col min="14594" max="14594" width="8" style="110" bestFit="1" customWidth="1"/>
    <col min="14595" max="14595" width="20" style="110" bestFit="1" customWidth="1"/>
    <col min="14596" max="14596" width="15" style="110" bestFit="1" customWidth="1"/>
    <col min="14597" max="14597" width="35" style="110" bestFit="1" customWidth="1"/>
    <col min="14598" max="14600" width="10" style="110" bestFit="1" customWidth="1"/>
    <col min="14601" max="14601" width="5" style="110" bestFit="1" customWidth="1"/>
    <col min="14602" max="14610" width="8" style="110" bestFit="1" customWidth="1"/>
    <col min="14611" max="14614" width="12" style="110" bestFit="1" customWidth="1"/>
    <col min="14615" max="14849" width="9.109375" style="110"/>
    <col min="14850" max="14850" width="8" style="110" bestFit="1" customWidth="1"/>
    <col min="14851" max="14851" width="20" style="110" bestFit="1" customWidth="1"/>
    <col min="14852" max="14852" width="15" style="110" bestFit="1" customWidth="1"/>
    <col min="14853" max="14853" width="35" style="110" bestFit="1" customWidth="1"/>
    <col min="14854" max="14856" width="10" style="110" bestFit="1" customWidth="1"/>
    <col min="14857" max="14857" width="5" style="110" bestFit="1" customWidth="1"/>
    <col min="14858" max="14866" width="8" style="110" bestFit="1" customWidth="1"/>
    <col min="14867" max="14870" width="12" style="110" bestFit="1" customWidth="1"/>
    <col min="14871" max="15105" width="9.109375" style="110"/>
    <col min="15106" max="15106" width="8" style="110" bestFit="1" customWidth="1"/>
    <col min="15107" max="15107" width="20" style="110" bestFit="1" customWidth="1"/>
    <col min="15108" max="15108" width="15" style="110" bestFit="1" customWidth="1"/>
    <col min="15109" max="15109" width="35" style="110" bestFit="1" customWidth="1"/>
    <col min="15110" max="15112" width="10" style="110" bestFit="1" customWidth="1"/>
    <col min="15113" max="15113" width="5" style="110" bestFit="1" customWidth="1"/>
    <col min="15114" max="15122" width="8" style="110" bestFit="1" customWidth="1"/>
    <col min="15123" max="15126" width="12" style="110" bestFit="1" customWidth="1"/>
    <col min="15127" max="15361" width="9.109375" style="110"/>
    <col min="15362" max="15362" width="8" style="110" bestFit="1" customWidth="1"/>
    <col min="15363" max="15363" width="20" style="110" bestFit="1" customWidth="1"/>
    <col min="15364" max="15364" width="15" style="110" bestFit="1" customWidth="1"/>
    <col min="15365" max="15365" width="35" style="110" bestFit="1" customWidth="1"/>
    <col min="15366" max="15368" width="10" style="110" bestFit="1" customWidth="1"/>
    <col min="15369" max="15369" width="5" style="110" bestFit="1" customWidth="1"/>
    <col min="15370" max="15378" width="8" style="110" bestFit="1" customWidth="1"/>
    <col min="15379" max="15382" width="12" style="110" bestFit="1" customWidth="1"/>
    <col min="15383" max="15617" width="9.109375" style="110"/>
    <col min="15618" max="15618" width="8" style="110" bestFit="1" customWidth="1"/>
    <col min="15619" max="15619" width="20" style="110" bestFit="1" customWidth="1"/>
    <col min="15620" max="15620" width="15" style="110" bestFit="1" customWidth="1"/>
    <col min="15621" max="15621" width="35" style="110" bestFit="1" customWidth="1"/>
    <col min="15622" max="15624" width="10" style="110" bestFit="1" customWidth="1"/>
    <col min="15625" max="15625" width="5" style="110" bestFit="1" customWidth="1"/>
    <col min="15626" max="15634" width="8" style="110" bestFit="1" customWidth="1"/>
    <col min="15635" max="15638" width="12" style="110" bestFit="1" customWidth="1"/>
    <col min="15639" max="15873" width="9.109375" style="110"/>
    <col min="15874" max="15874" width="8" style="110" bestFit="1" customWidth="1"/>
    <col min="15875" max="15875" width="20" style="110" bestFit="1" customWidth="1"/>
    <col min="15876" max="15876" width="15" style="110" bestFit="1" customWidth="1"/>
    <col min="15877" max="15877" width="35" style="110" bestFit="1" customWidth="1"/>
    <col min="15878" max="15880" width="10" style="110" bestFit="1" customWidth="1"/>
    <col min="15881" max="15881" width="5" style="110" bestFit="1" customWidth="1"/>
    <col min="15882" max="15890" width="8" style="110" bestFit="1" customWidth="1"/>
    <col min="15891" max="15894" width="12" style="110" bestFit="1" customWidth="1"/>
    <col min="15895" max="16129" width="9.109375" style="110"/>
    <col min="16130" max="16130" width="8" style="110" bestFit="1" customWidth="1"/>
    <col min="16131" max="16131" width="20" style="110" bestFit="1" customWidth="1"/>
    <col min="16132" max="16132" width="15" style="110" bestFit="1" customWidth="1"/>
    <col min="16133" max="16133" width="35" style="110" bestFit="1" customWidth="1"/>
    <col min="16134" max="16136" width="10" style="110" bestFit="1" customWidth="1"/>
    <col min="16137" max="16137" width="5" style="110" bestFit="1" customWidth="1"/>
    <col min="16138" max="16146" width="8" style="110" bestFit="1" customWidth="1"/>
    <col min="16147" max="16150" width="12" style="110" bestFit="1" customWidth="1"/>
    <col min="16151" max="16384" width="9.109375" style="110"/>
  </cols>
  <sheetData>
    <row r="1" spans="1:22" x14ac:dyDescent="0.25">
      <c r="A1" s="466" t="s">
        <v>93</v>
      </c>
      <c r="B1" s="466"/>
      <c r="C1" s="466"/>
      <c r="D1" s="466"/>
      <c r="E1" s="466"/>
      <c r="F1" s="466"/>
      <c r="G1" s="466"/>
      <c r="H1" s="466"/>
      <c r="I1" s="466"/>
      <c r="J1" s="466"/>
      <c r="K1" s="466"/>
      <c r="L1" s="466"/>
      <c r="M1" s="466"/>
      <c r="N1" s="466"/>
      <c r="O1" s="466"/>
      <c r="P1" s="466"/>
      <c r="Q1" s="466"/>
      <c r="R1" s="466"/>
      <c r="S1" s="466"/>
      <c r="T1" s="466"/>
      <c r="U1" s="466"/>
      <c r="V1" s="466"/>
    </row>
    <row r="2" spans="1:22" x14ac:dyDescent="0.25">
      <c r="A2" s="466" t="s">
        <v>94</v>
      </c>
      <c r="B2" s="466"/>
      <c r="C2" s="466"/>
      <c r="D2" s="466"/>
      <c r="E2" s="466"/>
      <c r="F2" s="466"/>
      <c r="G2" s="466"/>
      <c r="H2" s="466"/>
      <c r="I2" s="466"/>
      <c r="J2" s="466"/>
      <c r="K2" s="466"/>
      <c r="L2" s="466"/>
      <c r="M2" s="466"/>
      <c r="N2" s="466"/>
      <c r="O2" s="466"/>
      <c r="P2" s="466"/>
      <c r="Q2" s="466"/>
      <c r="R2" s="466"/>
      <c r="S2" s="466"/>
      <c r="T2" s="466"/>
      <c r="U2" s="466"/>
      <c r="V2" s="466"/>
    </row>
    <row r="3" spans="1:22" x14ac:dyDescent="0.25">
      <c r="A3" s="466" t="s">
        <v>428</v>
      </c>
      <c r="B3" s="466"/>
      <c r="C3" s="466"/>
      <c r="D3" s="466"/>
      <c r="E3" s="466"/>
      <c r="F3" s="466"/>
      <c r="G3" s="466"/>
      <c r="H3" s="466"/>
      <c r="I3" s="466"/>
      <c r="J3" s="466"/>
      <c r="K3" s="466"/>
      <c r="L3" s="466"/>
      <c r="M3" s="466"/>
      <c r="N3" s="466"/>
      <c r="O3" s="466"/>
      <c r="P3" s="466"/>
      <c r="Q3" s="466"/>
      <c r="R3" s="466"/>
      <c r="S3" s="466"/>
      <c r="T3" s="466"/>
      <c r="U3" s="466"/>
      <c r="V3" s="466"/>
    </row>
    <row r="4" spans="1:22" x14ac:dyDescent="0.25">
      <c r="A4" s="466" t="s">
        <v>429</v>
      </c>
      <c r="B4" s="466"/>
      <c r="C4" s="466"/>
      <c r="D4" s="466"/>
      <c r="E4" s="466"/>
      <c r="F4" s="466"/>
      <c r="G4" s="466"/>
      <c r="H4" s="466"/>
      <c r="I4" s="466"/>
      <c r="J4" s="466"/>
      <c r="K4" s="466"/>
      <c r="L4" s="466"/>
      <c r="M4" s="466"/>
      <c r="N4" s="466"/>
      <c r="O4" s="466"/>
      <c r="P4" s="466"/>
      <c r="Q4" s="466"/>
      <c r="R4" s="466"/>
      <c r="S4" s="466"/>
      <c r="T4" s="466"/>
      <c r="U4" s="466"/>
      <c r="V4" s="466"/>
    </row>
    <row r="5" spans="1:22" x14ac:dyDescent="0.25">
      <c r="A5" s="466" t="s">
        <v>95</v>
      </c>
      <c r="B5" s="466"/>
      <c r="C5" s="466"/>
      <c r="D5" s="466"/>
      <c r="E5" s="466"/>
      <c r="F5" s="466"/>
      <c r="G5" s="466"/>
      <c r="H5" s="466"/>
      <c r="I5" s="466"/>
      <c r="J5" s="466"/>
      <c r="K5" s="466"/>
      <c r="L5" s="466"/>
      <c r="M5" s="466"/>
      <c r="N5" s="466"/>
      <c r="O5" s="466"/>
      <c r="P5" s="466"/>
      <c r="Q5" s="466"/>
      <c r="R5" s="466"/>
      <c r="S5" s="466"/>
      <c r="T5" s="466"/>
      <c r="U5" s="466"/>
      <c r="V5" s="466"/>
    </row>
    <row r="6" spans="1:22" x14ac:dyDescent="0.25">
      <c r="A6" s="465"/>
      <c r="B6" s="465"/>
      <c r="C6" s="465"/>
      <c r="D6" s="465"/>
      <c r="E6" s="465"/>
      <c r="F6" s="465"/>
      <c r="G6" s="465"/>
      <c r="H6" s="465"/>
      <c r="I6" s="465"/>
      <c r="J6" s="465"/>
      <c r="K6" s="465"/>
      <c r="L6" s="465"/>
      <c r="M6" s="465"/>
      <c r="N6" s="465"/>
      <c r="O6" s="465"/>
      <c r="P6" s="465"/>
      <c r="Q6" s="465"/>
      <c r="R6" s="465"/>
      <c r="S6" s="465"/>
      <c r="T6" s="465"/>
      <c r="U6" s="465"/>
      <c r="V6" s="465"/>
    </row>
    <row r="7" spans="1:22" x14ac:dyDescent="0.25">
      <c r="A7" s="466" t="s">
        <v>96</v>
      </c>
      <c r="B7" s="466"/>
      <c r="C7" s="466"/>
      <c r="D7" s="466"/>
      <c r="E7" s="466"/>
      <c r="F7" s="466"/>
      <c r="G7" s="466"/>
      <c r="H7" s="466"/>
      <c r="I7" s="466"/>
      <c r="J7" s="466"/>
      <c r="K7" s="466"/>
      <c r="L7" s="466"/>
      <c r="M7" s="466"/>
      <c r="N7" s="466"/>
      <c r="O7" s="466"/>
      <c r="P7" s="466"/>
      <c r="Q7" s="466"/>
      <c r="R7" s="466"/>
      <c r="S7" s="466"/>
      <c r="T7" s="466"/>
      <c r="U7" s="466"/>
      <c r="V7" s="466"/>
    </row>
    <row r="8" spans="1:22" x14ac:dyDescent="0.25">
      <c r="A8" s="465"/>
      <c r="B8" s="465"/>
      <c r="C8" s="465"/>
      <c r="D8" s="465"/>
      <c r="E8" s="465"/>
      <c r="F8" s="465"/>
      <c r="G8" s="465"/>
      <c r="H8" s="465"/>
      <c r="I8" s="465"/>
      <c r="J8" s="465"/>
      <c r="K8" s="465"/>
      <c r="L8" s="465"/>
      <c r="M8" s="465"/>
      <c r="N8" s="465"/>
      <c r="O8" s="465"/>
      <c r="P8" s="465"/>
      <c r="Q8" s="465"/>
      <c r="R8" s="465"/>
      <c r="S8" s="465"/>
      <c r="T8" s="465"/>
      <c r="U8" s="465"/>
      <c r="V8" s="465"/>
    </row>
    <row r="9" spans="1:22" x14ac:dyDescent="0.25">
      <c r="A9" s="466" t="s">
        <v>97</v>
      </c>
      <c r="B9" s="466" t="s">
        <v>98</v>
      </c>
      <c r="C9" s="466" t="s">
        <v>99</v>
      </c>
      <c r="D9" s="466" t="s">
        <v>100</v>
      </c>
      <c r="E9" s="466" t="s">
        <v>101</v>
      </c>
      <c r="F9" s="466" t="s">
        <v>102</v>
      </c>
      <c r="G9" s="466" t="s">
        <v>103</v>
      </c>
      <c r="H9" s="466" t="s">
        <v>104</v>
      </c>
      <c r="I9" s="466" t="s">
        <v>105</v>
      </c>
      <c r="J9" s="466" t="s">
        <v>106</v>
      </c>
      <c r="K9" s="466" t="s">
        <v>107</v>
      </c>
      <c r="L9" s="466" t="s">
        <v>108</v>
      </c>
      <c r="M9" s="466" t="s">
        <v>109</v>
      </c>
      <c r="N9" s="466" t="s">
        <v>110</v>
      </c>
      <c r="O9" s="466" t="s">
        <v>111</v>
      </c>
      <c r="P9" s="466" t="s">
        <v>112</v>
      </c>
      <c r="Q9" s="466" t="s">
        <v>113</v>
      </c>
      <c r="R9" s="466" t="s">
        <v>114</v>
      </c>
      <c r="S9" s="466" t="s">
        <v>115</v>
      </c>
      <c r="T9" s="466" t="s">
        <v>116</v>
      </c>
      <c r="U9" s="466" t="s">
        <v>117</v>
      </c>
      <c r="V9" s="466" t="s">
        <v>118</v>
      </c>
    </row>
    <row r="10" spans="1:22" x14ac:dyDescent="0.25">
      <c r="A10" s="466" t="s">
        <v>119</v>
      </c>
      <c r="B10" s="466" t="s">
        <v>120</v>
      </c>
      <c r="C10" s="466" t="s">
        <v>473</v>
      </c>
      <c r="D10" s="466" t="s">
        <v>121</v>
      </c>
      <c r="E10" s="466" t="s">
        <v>122</v>
      </c>
      <c r="F10" s="466" t="s">
        <v>430</v>
      </c>
      <c r="G10" s="466" t="s">
        <v>123</v>
      </c>
      <c r="H10" s="466" t="s">
        <v>431</v>
      </c>
      <c r="I10" s="466" t="s">
        <v>124</v>
      </c>
      <c r="J10" s="466" t="s">
        <v>125</v>
      </c>
      <c r="K10" s="466" t="s">
        <v>432</v>
      </c>
      <c r="L10" s="466" t="s">
        <v>433</v>
      </c>
      <c r="M10" s="466" t="s">
        <v>434</v>
      </c>
      <c r="N10" s="467">
        <v>0</v>
      </c>
      <c r="O10" s="467">
        <v>0</v>
      </c>
      <c r="P10" s="467">
        <v>1</v>
      </c>
      <c r="Q10" s="467">
        <v>1</v>
      </c>
      <c r="R10" s="466" t="s">
        <v>126</v>
      </c>
      <c r="S10" s="468">
        <v>53124</v>
      </c>
      <c r="T10" s="468">
        <v>18172</v>
      </c>
      <c r="U10" s="468">
        <v>73427</v>
      </c>
      <c r="V10" s="468">
        <v>23791</v>
      </c>
    </row>
    <row r="11" spans="1:22" x14ac:dyDescent="0.25">
      <c r="A11" s="466" t="s">
        <v>119</v>
      </c>
      <c r="B11" s="466" t="s">
        <v>120</v>
      </c>
      <c r="C11" s="466" t="s">
        <v>473</v>
      </c>
      <c r="D11" s="466" t="s">
        <v>121</v>
      </c>
      <c r="E11" s="466" t="s">
        <v>435</v>
      </c>
      <c r="F11" s="466" t="s">
        <v>436</v>
      </c>
      <c r="G11" s="466" t="s">
        <v>437</v>
      </c>
      <c r="H11" s="466" t="s">
        <v>438</v>
      </c>
      <c r="I11" s="466" t="s">
        <v>124</v>
      </c>
      <c r="J11" s="466" t="s">
        <v>125</v>
      </c>
      <c r="K11" s="466" t="s">
        <v>474</v>
      </c>
      <c r="L11" s="466" t="s">
        <v>433</v>
      </c>
      <c r="M11" s="466" t="s">
        <v>434</v>
      </c>
      <c r="N11" s="467">
        <v>0</v>
      </c>
      <c r="O11" s="467">
        <v>0</v>
      </c>
      <c r="P11" s="467">
        <v>1</v>
      </c>
      <c r="Q11" s="467">
        <v>1</v>
      </c>
      <c r="R11" s="466" t="s">
        <v>126</v>
      </c>
      <c r="S11" s="468">
        <v>0</v>
      </c>
      <c r="T11" s="468">
        <v>349</v>
      </c>
      <c r="U11" s="468">
        <v>47894</v>
      </c>
      <c r="V11" s="468">
        <v>19299</v>
      </c>
    </row>
    <row r="12" spans="1:22" x14ac:dyDescent="0.25">
      <c r="N12" s="132"/>
      <c r="O12" s="132"/>
      <c r="P12" s="132"/>
      <c r="Q12" s="132"/>
      <c r="S12" s="133"/>
      <c r="T12" s="133"/>
      <c r="U12" s="133"/>
      <c r="V12" s="133"/>
    </row>
    <row r="13" spans="1:22" x14ac:dyDescent="0.25">
      <c r="N13" s="132"/>
      <c r="O13" s="132"/>
      <c r="P13" s="132"/>
      <c r="Q13" s="132"/>
      <c r="S13" s="133"/>
      <c r="T13" s="133"/>
      <c r="U13" s="133"/>
      <c r="V13" s="133"/>
    </row>
    <row r="14" spans="1:22" x14ac:dyDescent="0.25">
      <c r="N14" s="132"/>
      <c r="O14" s="132"/>
      <c r="P14" s="132"/>
      <c r="Q14" s="132"/>
      <c r="S14" s="133"/>
      <c r="T14" s="133"/>
      <c r="U14" s="133"/>
      <c r="V14" s="133"/>
    </row>
    <row r="15" spans="1:22" x14ac:dyDescent="0.25">
      <c r="N15" s="132"/>
      <c r="O15" s="132"/>
      <c r="P15" s="132"/>
      <c r="Q15" s="132"/>
      <c r="S15" s="133"/>
      <c r="T15" s="133"/>
      <c r="U15" s="133"/>
      <c r="V15" s="133"/>
    </row>
    <row r="16" spans="1:22" x14ac:dyDescent="0.25">
      <c r="N16" s="132"/>
      <c r="O16" s="132"/>
      <c r="P16" s="132"/>
      <c r="Q16" s="132"/>
      <c r="S16" s="133"/>
      <c r="T16" s="133"/>
      <c r="U16" s="133"/>
      <c r="V16" s="133"/>
    </row>
    <row r="17" spans="14:22" x14ac:dyDescent="0.25">
      <c r="N17" s="132"/>
      <c r="O17" s="132"/>
      <c r="P17" s="132"/>
      <c r="Q17" s="132"/>
      <c r="S17" s="133"/>
      <c r="T17" s="133"/>
      <c r="U17" s="133"/>
      <c r="V17" s="133"/>
    </row>
    <row r="18" spans="14:22" x14ac:dyDescent="0.25">
      <c r="N18" s="132"/>
      <c r="O18" s="132"/>
      <c r="P18" s="132"/>
      <c r="Q18" s="132"/>
      <c r="S18" s="133"/>
      <c r="T18" s="133"/>
      <c r="U18" s="133"/>
      <c r="V18" s="133"/>
    </row>
    <row r="19" spans="14:22" x14ac:dyDescent="0.25">
      <c r="N19" s="132"/>
      <c r="O19" s="132"/>
      <c r="P19" s="132"/>
      <c r="Q19" s="132"/>
      <c r="S19" s="133"/>
      <c r="T19" s="133"/>
      <c r="U19" s="133"/>
      <c r="V19" s="133"/>
    </row>
    <row r="20" spans="14:22" x14ac:dyDescent="0.25">
      <c r="N20" s="132"/>
      <c r="O20" s="132"/>
      <c r="P20" s="132"/>
      <c r="Q20" s="132"/>
      <c r="S20" s="133"/>
      <c r="T20" s="133"/>
      <c r="U20" s="133"/>
      <c r="V20" s="133"/>
    </row>
    <row r="21" spans="14:22" x14ac:dyDescent="0.25">
      <c r="N21" s="132"/>
      <c r="O21" s="132"/>
      <c r="P21" s="132"/>
      <c r="Q21" s="132"/>
      <c r="S21" s="133"/>
      <c r="T21" s="133"/>
      <c r="U21" s="133"/>
      <c r="V21" s="133"/>
    </row>
    <row r="22" spans="14:22" x14ac:dyDescent="0.25">
      <c r="N22" s="132"/>
      <c r="O22" s="132"/>
      <c r="P22" s="132"/>
      <c r="Q22" s="132"/>
      <c r="S22" s="133"/>
      <c r="T22" s="133"/>
      <c r="U22" s="133"/>
      <c r="V22" s="133"/>
    </row>
    <row r="23" spans="14:22" x14ac:dyDescent="0.25">
      <c r="N23" s="132"/>
      <c r="O23" s="132"/>
      <c r="P23" s="132"/>
      <c r="Q23" s="132"/>
      <c r="S23" s="133"/>
      <c r="T23" s="133"/>
      <c r="U23" s="133"/>
      <c r="V23" s="133"/>
    </row>
    <row r="24" spans="14:22" x14ac:dyDescent="0.25">
      <c r="N24" s="132"/>
      <c r="O24" s="132"/>
      <c r="P24" s="132"/>
      <c r="Q24" s="132"/>
      <c r="S24" s="133"/>
      <c r="T24" s="133"/>
      <c r="U24" s="133"/>
      <c r="V24" s="133"/>
    </row>
    <row r="25" spans="14:22" x14ac:dyDescent="0.25">
      <c r="N25" s="132"/>
      <c r="O25" s="132"/>
      <c r="P25" s="132"/>
      <c r="Q25" s="132"/>
      <c r="S25" s="133"/>
      <c r="T25" s="133"/>
      <c r="U25" s="133"/>
      <c r="V25" s="133"/>
    </row>
    <row r="26" spans="14:22" x14ac:dyDescent="0.25">
      <c r="N26" s="132"/>
      <c r="O26" s="132"/>
      <c r="P26" s="132"/>
      <c r="Q26" s="132"/>
      <c r="S26" s="133"/>
      <c r="T26" s="133"/>
      <c r="U26" s="133"/>
      <c r="V26" s="133"/>
    </row>
    <row r="27" spans="14:22" x14ac:dyDescent="0.25">
      <c r="N27" s="132"/>
      <c r="O27" s="132"/>
      <c r="P27" s="132"/>
      <c r="Q27" s="132"/>
      <c r="S27" s="133"/>
      <c r="T27" s="133"/>
      <c r="U27" s="133"/>
      <c r="V27" s="133"/>
    </row>
    <row r="28" spans="14:22" x14ac:dyDescent="0.25">
      <c r="N28" s="132"/>
      <c r="O28" s="132"/>
      <c r="P28" s="132"/>
      <c r="Q28" s="132"/>
      <c r="S28" s="133"/>
      <c r="T28" s="133"/>
      <c r="U28" s="133"/>
      <c r="V28" s="133"/>
    </row>
    <row r="29" spans="14:22" x14ac:dyDescent="0.25">
      <c r="N29" s="132"/>
      <c r="O29" s="132"/>
      <c r="P29" s="132"/>
      <c r="Q29" s="132"/>
      <c r="S29" s="133"/>
      <c r="T29" s="133"/>
      <c r="U29" s="133"/>
      <c r="V29" s="133"/>
    </row>
    <row r="30" spans="14:22" x14ac:dyDescent="0.25">
      <c r="N30" s="132"/>
      <c r="O30" s="132"/>
      <c r="P30" s="132"/>
      <c r="Q30" s="132"/>
      <c r="S30" s="133"/>
      <c r="T30" s="133"/>
      <c r="U30" s="133"/>
      <c r="V30" s="133"/>
    </row>
    <row r="31" spans="14:22" x14ac:dyDescent="0.25">
      <c r="N31" s="132"/>
      <c r="O31" s="132"/>
      <c r="P31" s="132"/>
      <c r="Q31" s="132"/>
      <c r="S31" s="133"/>
      <c r="T31" s="133"/>
      <c r="U31" s="133"/>
      <c r="V31" s="13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9"/>
  <sheetViews>
    <sheetView topLeftCell="A28" workbookViewId="0">
      <selection activeCell="B36" sqref="B36"/>
    </sheetView>
  </sheetViews>
  <sheetFormatPr defaultColWidth="9.109375" defaultRowHeight="15.6" x14ac:dyDescent="0.3"/>
  <cols>
    <col min="1" max="1" width="9.109375" style="45"/>
    <col min="2" max="2" width="93" style="45" customWidth="1"/>
    <col min="3" max="16384" width="9.109375" style="45"/>
  </cols>
  <sheetData>
    <row r="1" spans="1:2" ht="24.75" customHeight="1" x14ac:dyDescent="0.25">
      <c r="A1" s="546" t="s">
        <v>288</v>
      </c>
      <c r="B1" s="546"/>
    </row>
    <row r="2" spans="1:2" ht="36.75" customHeight="1" x14ac:dyDescent="0.25">
      <c r="A2" s="547" t="s">
        <v>313</v>
      </c>
      <c r="B2" s="547"/>
    </row>
    <row r="3" spans="1:2" ht="13.5" customHeight="1" x14ac:dyDescent="0.25">
      <c r="A3" s="54"/>
      <c r="B3" s="54"/>
    </row>
    <row r="4" spans="1:2" ht="47.25" customHeight="1" x14ac:dyDescent="0.25">
      <c r="A4" s="547" t="s">
        <v>382</v>
      </c>
      <c r="B4" s="547"/>
    </row>
    <row r="5" spans="1:2" ht="15.75" customHeight="1" x14ac:dyDescent="0.25">
      <c r="A5" s="54"/>
      <c r="B5" s="54"/>
    </row>
    <row r="6" spans="1:2" ht="23.25" customHeight="1" x14ac:dyDescent="0.25">
      <c r="A6" s="64" t="s">
        <v>478</v>
      </c>
      <c r="B6" s="65"/>
    </row>
    <row r="7" spans="1:2" ht="15.75" x14ac:dyDescent="0.25">
      <c r="A7" s="46" t="s">
        <v>323</v>
      </c>
    </row>
    <row r="8" spans="1:2" ht="27.75" customHeight="1" x14ac:dyDescent="0.3">
      <c r="A8" s="47" t="s">
        <v>265</v>
      </c>
      <c r="B8" s="48" t="s">
        <v>324</v>
      </c>
    </row>
    <row r="9" spans="1:2" ht="20.25" customHeight="1" x14ac:dyDescent="0.3">
      <c r="A9" s="47" t="s">
        <v>265</v>
      </c>
      <c r="B9" s="48" t="s">
        <v>266</v>
      </c>
    </row>
    <row r="10" spans="1:2" ht="37.5" customHeight="1" x14ac:dyDescent="0.3">
      <c r="A10" s="47" t="s">
        <v>265</v>
      </c>
      <c r="B10" s="48" t="s">
        <v>271</v>
      </c>
    </row>
    <row r="11" spans="1:2" ht="35.25" customHeight="1" x14ac:dyDescent="0.3">
      <c r="A11" s="47" t="s">
        <v>265</v>
      </c>
      <c r="B11" s="48" t="s">
        <v>489</v>
      </c>
    </row>
    <row r="12" spans="1:2" x14ac:dyDescent="0.3">
      <c r="A12" s="47" t="s">
        <v>265</v>
      </c>
      <c r="B12" s="48" t="s">
        <v>267</v>
      </c>
    </row>
    <row r="13" spans="1:2" ht="9.75" customHeight="1" x14ac:dyDescent="0.25"/>
    <row r="14" spans="1:2" s="68" customFormat="1" ht="23.25" customHeight="1" x14ac:dyDescent="0.25">
      <c r="A14" s="67" t="s">
        <v>325</v>
      </c>
      <c r="B14" s="67"/>
    </row>
    <row r="15" spans="1:2" ht="15.75" x14ac:dyDescent="0.25">
      <c r="A15" s="46" t="s">
        <v>268</v>
      </c>
    </row>
    <row r="16" spans="1:2" x14ac:dyDescent="0.3">
      <c r="A16" s="47" t="s">
        <v>265</v>
      </c>
      <c r="B16" s="48" t="s">
        <v>312</v>
      </c>
    </row>
    <row r="17" spans="1:2" x14ac:dyDescent="0.3">
      <c r="A17" s="47" t="s">
        <v>265</v>
      </c>
      <c r="B17" s="48" t="s">
        <v>269</v>
      </c>
    </row>
    <row r="18" spans="1:2" ht="24" customHeight="1" x14ac:dyDescent="0.3">
      <c r="A18" s="47" t="s">
        <v>265</v>
      </c>
      <c r="B18" s="48" t="s">
        <v>270</v>
      </c>
    </row>
    <row r="19" spans="1:2" s="134" customFormat="1" ht="17.25" customHeight="1" x14ac:dyDescent="0.3">
      <c r="A19" s="135" t="s">
        <v>265</v>
      </c>
      <c r="B19" s="136" t="s">
        <v>366</v>
      </c>
    </row>
    <row r="20" spans="1:2" ht="17.25" customHeight="1" x14ac:dyDescent="0.3">
      <c r="A20" s="47" t="s">
        <v>265</v>
      </c>
      <c r="B20" s="48" t="s">
        <v>326</v>
      </c>
    </row>
    <row r="21" spans="1:2" ht="31.2" x14ac:dyDescent="0.3">
      <c r="A21" s="47" t="s">
        <v>265</v>
      </c>
      <c r="B21" s="48" t="s">
        <v>271</v>
      </c>
    </row>
    <row r="22" spans="1:2" ht="36" customHeight="1" x14ac:dyDescent="0.3">
      <c r="A22" s="47" t="s">
        <v>265</v>
      </c>
      <c r="B22" s="48" t="s">
        <v>488</v>
      </c>
    </row>
    <row r="23" spans="1:2" ht="17.25" customHeight="1" x14ac:dyDescent="0.3">
      <c r="A23" s="47" t="s">
        <v>265</v>
      </c>
      <c r="B23" s="48" t="s">
        <v>267</v>
      </c>
    </row>
    <row r="24" spans="1:2" ht="9" customHeight="1" x14ac:dyDescent="0.25"/>
    <row r="25" spans="1:2" ht="15.75" x14ac:dyDescent="0.25">
      <c r="A25" s="66" t="s">
        <v>327</v>
      </c>
      <c r="B25" s="66"/>
    </row>
    <row r="26" spans="1:2" ht="21" customHeight="1" x14ac:dyDescent="0.25">
      <c r="A26" s="49" t="s">
        <v>309</v>
      </c>
      <c r="B26" s="53"/>
    </row>
    <row r="27" spans="1:2" ht="21.75" customHeight="1" x14ac:dyDescent="0.3">
      <c r="A27" s="47" t="s">
        <v>265</v>
      </c>
      <c r="B27" s="48" t="s">
        <v>314</v>
      </c>
    </row>
    <row r="28" spans="1:2" x14ac:dyDescent="0.3">
      <c r="A28" s="47" t="s">
        <v>265</v>
      </c>
      <c r="B28" s="48" t="s">
        <v>330</v>
      </c>
    </row>
    <row r="29" spans="1:2" ht="10.5" customHeight="1" x14ac:dyDescent="0.25">
      <c r="A29" s="50"/>
      <c r="B29" s="48"/>
    </row>
    <row r="30" spans="1:2" ht="15.75" x14ac:dyDescent="0.25">
      <c r="A30" s="66" t="s">
        <v>328</v>
      </c>
      <c r="B30" s="66"/>
    </row>
    <row r="31" spans="1:2" ht="20.25" customHeight="1" x14ac:dyDescent="0.25">
      <c r="A31" s="46" t="s">
        <v>311</v>
      </c>
    </row>
    <row r="32" spans="1:2" ht="37.5" customHeight="1" x14ac:dyDescent="0.3">
      <c r="A32" s="47" t="s">
        <v>265</v>
      </c>
      <c r="B32" s="51" t="s">
        <v>343</v>
      </c>
    </row>
    <row r="33" spans="1:2" ht="36" customHeight="1" x14ac:dyDescent="0.3">
      <c r="A33" s="47" t="s">
        <v>265</v>
      </c>
      <c r="B33" s="51" t="s">
        <v>345</v>
      </c>
    </row>
    <row r="34" spans="1:2" ht="34.5" customHeight="1" x14ac:dyDescent="0.3">
      <c r="A34" s="47" t="s">
        <v>265</v>
      </c>
      <c r="B34" s="51" t="s">
        <v>346</v>
      </c>
    </row>
    <row r="35" spans="1:2" ht="30.75" customHeight="1" x14ac:dyDescent="0.3">
      <c r="A35" s="47" t="s">
        <v>265</v>
      </c>
      <c r="B35" s="51" t="s">
        <v>329</v>
      </c>
    </row>
    <row r="36" spans="1:2" ht="18.75" customHeight="1" x14ac:dyDescent="0.3">
      <c r="A36" s="47" t="s">
        <v>265</v>
      </c>
      <c r="B36" s="51" t="s">
        <v>490</v>
      </c>
    </row>
    <row r="37" spans="1:2" ht="32.25" customHeight="1" x14ac:dyDescent="0.3">
      <c r="A37" s="47" t="s">
        <v>265</v>
      </c>
      <c r="B37" s="51" t="s">
        <v>347</v>
      </c>
    </row>
    <row r="38" spans="1:2" ht="33" customHeight="1" x14ac:dyDescent="0.3">
      <c r="A38" s="47" t="s">
        <v>265</v>
      </c>
      <c r="B38" s="51" t="s">
        <v>344</v>
      </c>
    </row>
    <row r="39" spans="1:2" ht="31.2" x14ac:dyDescent="0.3">
      <c r="A39" s="47" t="s">
        <v>265</v>
      </c>
      <c r="B39" s="51" t="s">
        <v>354</v>
      </c>
    </row>
    <row r="40" spans="1:2" x14ac:dyDescent="0.3">
      <c r="A40" s="47" t="s">
        <v>265</v>
      </c>
      <c r="B40" s="475" t="s">
        <v>476</v>
      </c>
    </row>
    <row r="41" spans="1:2" ht="51" customHeight="1" x14ac:dyDescent="0.3">
      <c r="A41" s="47" t="s">
        <v>265</v>
      </c>
      <c r="B41" s="51" t="s">
        <v>477</v>
      </c>
    </row>
    <row r="42" spans="1:2" ht="11.25" customHeight="1" x14ac:dyDescent="0.25">
      <c r="B42" s="52"/>
    </row>
    <row r="43" spans="1:2" ht="15.75" x14ac:dyDescent="0.25">
      <c r="A43" s="66" t="s">
        <v>348</v>
      </c>
      <c r="B43" s="66"/>
    </row>
    <row r="44" spans="1:2" ht="21" customHeight="1" x14ac:dyDescent="0.25">
      <c r="A44" s="49" t="s">
        <v>309</v>
      </c>
      <c r="B44" s="53"/>
    </row>
    <row r="45" spans="1:2" ht="30" customHeight="1" x14ac:dyDescent="0.3">
      <c r="A45" s="47" t="s">
        <v>265</v>
      </c>
      <c r="B45" s="48" t="s">
        <v>349</v>
      </c>
    </row>
    <row r="46" spans="1:2" x14ac:dyDescent="0.3">
      <c r="A46" s="47" t="s">
        <v>265</v>
      </c>
      <c r="B46" s="48" t="s">
        <v>350</v>
      </c>
    </row>
    <row r="47" spans="1:2" ht="31.2" x14ac:dyDescent="0.3">
      <c r="A47" s="47" t="s">
        <v>265</v>
      </c>
      <c r="B47" s="48" t="s">
        <v>353</v>
      </c>
    </row>
    <row r="48" spans="1:2" ht="15.75" x14ac:dyDescent="0.25">
      <c r="B48" s="52"/>
    </row>
    <row r="49" spans="2:2" x14ac:dyDescent="0.3">
      <c r="B49" s="52"/>
    </row>
  </sheetData>
  <mergeCells count="3">
    <mergeCell ref="A1:B1"/>
    <mergeCell ref="A2:B2"/>
    <mergeCell ref="A4:B4"/>
  </mergeCells>
  <pageMargins left="0.45" right="0.45" top="0.5" bottom="0.5" header="0.3" footer="0.3"/>
  <pageSetup scale="95" orientation="landscape" r:id="rId1"/>
  <rowBreaks count="1" manualBreakCount="1">
    <brk id="23"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F14:I104"/>
  <sheetViews>
    <sheetView workbookViewId="0"/>
  </sheetViews>
  <sheetFormatPr defaultColWidth="9.109375" defaultRowHeight="14.4" x14ac:dyDescent="0.3"/>
  <cols>
    <col min="1" max="16384" width="9.109375" style="110"/>
  </cols>
  <sheetData>
    <row r="14" spans="6:9" ht="15" x14ac:dyDescent="0.25">
      <c r="F14" s="28"/>
      <c r="G14" s="28"/>
      <c r="H14" s="28"/>
      <c r="I14" s="28"/>
    </row>
    <row r="15" spans="6:9" ht="15" x14ac:dyDescent="0.25">
      <c r="F15" s="28"/>
    </row>
    <row r="17" spans="6:9" ht="15" x14ac:dyDescent="0.25">
      <c r="G17" s="28"/>
    </row>
    <row r="18" spans="6:9" ht="15" x14ac:dyDescent="0.25">
      <c r="F18" s="28"/>
      <c r="G18" s="28"/>
      <c r="H18" s="28"/>
      <c r="I18" s="28"/>
    </row>
    <row r="19" spans="6:9" ht="15" x14ac:dyDescent="0.25">
      <c r="F19" s="28"/>
    </row>
    <row r="20" spans="6:9" ht="15" x14ac:dyDescent="0.25">
      <c r="F20" s="28"/>
      <c r="G20" s="28"/>
      <c r="H20" s="28"/>
      <c r="I20" s="28"/>
    </row>
    <row r="21" spans="6:9" ht="15" x14ac:dyDescent="0.25">
      <c r="F21" s="28"/>
    </row>
    <row r="22" spans="6:9" ht="15" x14ac:dyDescent="0.25">
      <c r="F22" s="28"/>
      <c r="G22" s="28"/>
      <c r="H22" s="28"/>
      <c r="I22" s="28"/>
    </row>
    <row r="23" spans="6:9" ht="15" x14ac:dyDescent="0.25">
      <c r="F23" s="28"/>
      <c r="G23" s="28"/>
      <c r="H23" s="28"/>
      <c r="I23" s="28"/>
    </row>
    <row r="24" spans="6:9" ht="15" x14ac:dyDescent="0.25">
      <c r="G24" s="28"/>
    </row>
    <row r="25" spans="6:9" ht="15" x14ac:dyDescent="0.25">
      <c r="F25" s="28"/>
      <c r="G25" s="28"/>
      <c r="H25" s="28"/>
      <c r="I25" s="28"/>
    </row>
    <row r="26" spans="6:9" ht="15" x14ac:dyDescent="0.25">
      <c r="F26" s="28"/>
      <c r="G26" s="28"/>
      <c r="H26" s="28"/>
      <c r="I26" s="28"/>
    </row>
    <row r="27" spans="6:9" ht="15" x14ac:dyDescent="0.25">
      <c r="F27" s="28"/>
    </row>
    <row r="28" spans="6:9" ht="15" x14ac:dyDescent="0.25">
      <c r="F28" s="28"/>
      <c r="G28" s="28"/>
      <c r="H28" s="28"/>
      <c r="I28" s="28"/>
    </row>
    <row r="29" spans="6:9" ht="15" x14ac:dyDescent="0.25">
      <c r="F29" s="28"/>
      <c r="G29" s="28"/>
      <c r="H29" s="28"/>
      <c r="I29" s="28"/>
    </row>
    <row r="30" spans="6:9" ht="15" x14ac:dyDescent="0.25">
      <c r="F30" s="28"/>
      <c r="G30" s="28"/>
      <c r="H30" s="28"/>
      <c r="I30" s="28"/>
    </row>
    <row r="31" spans="6:9" ht="15" x14ac:dyDescent="0.25">
      <c r="F31" s="28"/>
      <c r="G31" s="28"/>
      <c r="H31" s="28"/>
      <c r="I31" s="28"/>
    </row>
    <row r="32" spans="6:9" ht="15" x14ac:dyDescent="0.25">
      <c r="G32" s="28"/>
    </row>
    <row r="33" spans="6:9" ht="15" x14ac:dyDescent="0.25">
      <c r="G33" s="28"/>
    </row>
    <row r="34" spans="6:9" ht="15" x14ac:dyDescent="0.25">
      <c r="G34" s="28"/>
      <c r="H34" s="28"/>
      <c r="I34" s="28"/>
    </row>
    <row r="35" spans="6:9" ht="15" x14ac:dyDescent="0.25">
      <c r="F35" s="28"/>
    </row>
    <row r="36" spans="6:9" x14ac:dyDescent="0.3">
      <c r="F36" s="28"/>
      <c r="G36" s="28"/>
      <c r="H36" s="28"/>
      <c r="I36" s="28"/>
    </row>
    <row r="37" spans="6:9" x14ac:dyDescent="0.3">
      <c r="F37" s="28"/>
      <c r="G37" s="28"/>
      <c r="H37" s="28"/>
      <c r="I37" s="28"/>
    </row>
    <row r="38" spans="6:9" x14ac:dyDescent="0.3">
      <c r="F38" s="28"/>
      <c r="H38" s="28"/>
      <c r="I38" s="28"/>
    </row>
    <row r="39" spans="6:9" x14ac:dyDescent="0.3">
      <c r="F39" s="28"/>
      <c r="G39" s="28"/>
      <c r="H39" s="28"/>
      <c r="I39" s="28"/>
    </row>
    <row r="41" spans="6:9" x14ac:dyDescent="0.3">
      <c r="G41" s="28"/>
    </row>
    <row r="42" spans="6:9" x14ac:dyDescent="0.3">
      <c r="G42" s="28"/>
    </row>
    <row r="43" spans="6:9" x14ac:dyDescent="0.3">
      <c r="F43" s="28"/>
      <c r="G43" s="28"/>
      <c r="H43" s="28"/>
      <c r="I43" s="28"/>
    </row>
    <row r="44" spans="6:9" x14ac:dyDescent="0.3">
      <c r="G44" s="28"/>
    </row>
    <row r="45" spans="6:9" x14ac:dyDescent="0.3">
      <c r="F45" s="28"/>
      <c r="H45" s="28"/>
      <c r="I45" s="28"/>
    </row>
    <row r="49" spans="6:9" x14ac:dyDescent="0.3">
      <c r="F49" s="28"/>
      <c r="G49" s="28"/>
      <c r="H49" s="28"/>
      <c r="I49" s="28"/>
    </row>
    <row r="51" spans="6:9" x14ac:dyDescent="0.3">
      <c r="F51" s="28"/>
      <c r="G51" s="28"/>
    </row>
    <row r="54" spans="6:9" x14ac:dyDescent="0.3">
      <c r="F54" s="28"/>
      <c r="G54" s="28"/>
      <c r="H54" s="28"/>
      <c r="I54" s="28"/>
    </row>
    <row r="55" spans="6:9" x14ac:dyDescent="0.3">
      <c r="H55" s="28"/>
      <c r="I55" s="28"/>
    </row>
    <row r="58" spans="6:9" x14ac:dyDescent="0.3">
      <c r="F58" s="28"/>
      <c r="G58" s="28"/>
      <c r="H58" s="28"/>
      <c r="I58" s="28"/>
    </row>
    <row r="59" spans="6:9" x14ac:dyDescent="0.3">
      <c r="F59" s="28"/>
      <c r="G59" s="28"/>
    </row>
    <row r="60" spans="6:9" x14ac:dyDescent="0.3">
      <c r="F60" s="28"/>
      <c r="G60" s="28"/>
      <c r="H60" s="28"/>
      <c r="I60" s="28"/>
    </row>
    <row r="62" spans="6:9" x14ac:dyDescent="0.3">
      <c r="H62" s="28"/>
      <c r="I62" s="28"/>
    </row>
    <row r="63" spans="6:9" x14ac:dyDescent="0.3">
      <c r="F63" s="28"/>
      <c r="G63" s="28"/>
      <c r="H63" s="28"/>
      <c r="I63" s="28"/>
    </row>
    <row r="64" spans="6:9" x14ac:dyDescent="0.3">
      <c r="G64" s="28"/>
    </row>
    <row r="65" spans="6:9" x14ac:dyDescent="0.3">
      <c r="F65" s="28"/>
      <c r="G65" s="28"/>
      <c r="H65" s="28"/>
      <c r="I65" s="28"/>
    </row>
    <row r="66" spans="6:9" x14ac:dyDescent="0.3">
      <c r="F66" s="28"/>
      <c r="G66" s="28"/>
      <c r="H66" s="28"/>
      <c r="I66" s="28"/>
    </row>
    <row r="69" spans="6:9" x14ac:dyDescent="0.3">
      <c r="F69" s="28"/>
      <c r="G69" s="28"/>
      <c r="H69" s="28"/>
      <c r="I69" s="28"/>
    </row>
    <row r="70" spans="6:9" x14ac:dyDescent="0.3">
      <c r="F70" s="28"/>
      <c r="G70" s="28"/>
      <c r="H70" s="28"/>
      <c r="I70" s="28"/>
    </row>
    <row r="71" spans="6:9" x14ac:dyDescent="0.3">
      <c r="F71" s="28"/>
      <c r="G71" s="28"/>
      <c r="H71" s="28"/>
      <c r="I71" s="28"/>
    </row>
    <row r="72" spans="6:9" x14ac:dyDescent="0.3">
      <c r="F72" s="28"/>
      <c r="G72" s="28"/>
      <c r="H72" s="28"/>
      <c r="I72" s="28"/>
    </row>
    <row r="73" spans="6:9" x14ac:dyDescent="0.3">
      <c r="F73" s="28"/>
      <c r="G73" s="28"/>
      <c r="H73" s="28"/>
      <c r="I73" s="28"/>
    </row>
    <row r="74" spans="6:9" x14ac:dyDescent="0.3">
      <c r="F74" s="28"/>
      <c r="G74" s="28"/>
      <c r="H74" s="28"/>
      <c r="I74" s="28"/>
    </row>
    <row r="76" spans="6:9" x14ac:dyDescent="0.3">
      <c r="G76" s="28"/>
    </row>
    <row r="78" spans="6:9" x14ac:dyDescent="0.3">
      <c r="F78" s="28"/>
      <c r="G78" s="28"/>
      <c r="H78" s="28"/>
      <c r="I78" s="28"/>
    </row>
    <row r="79" spans="6:9" x14ac:dyDescent="0.3">
      <c r="F79" s="28"/>
      <c r="H79" s="28"/>
      <c r="I79" s="28"/>
    </row>
    <row r="80" spans="6:9" x14ac:dyDescent="0.3">
      <c r="F80" s="28"/>
    </row>
    <row r="81" spans="6:9" x14ac:dyDescent="0.3">
      <c r="F81" s="28"/>
      <c r="G81" s="28"/>
      <c r="H81" s="28"/>
      <c r="I81" s="28"/>
    </row>
    <row r="83" spans="6:9" x14ac:dyDescent="0.3">
      <c r="F83" s="28"/>
      <c r="G83" s="28"/>
      <c r="H83" s="28"/>
      <c r="I83" s="28"/>
    </row>
    <row r="85" spans="6:9" x14ac:dyDescent="0.3">
      <c r="F85" s="28"/>
      <c r="G85" s="28"/>
      <c r="H85" s="28"/>
      <c r="I85" s="28"/>
    </row>
    <row r="86" spans="6:9" x14ac:dyDescent="0.3">
      <c r="F86" s="28"/>
      <c r="G86" s="28"/>
      <c r="H86" s="28"/>
      <c r="I86" s="28"/>
    </row>
    <row r="87" spans="6:9" x14ac:dyDescent="0.3">
      <c r="F87" s="28"/>
    </row>
    <row r="88" spans="6:9" x14ac:dyDescent="0.3">
      <c r="F88" s="28"/>
    </row>
    <row r="89" spans="6:9" x14ac:dyDescent="0.3">
      <c r="F89" s="28"/>
    </row>
    <row r="90" spans="6:9" x14ac:dyDescent="0.3">
      <c r="F90" s="28"/>
      <c r="G90" s="28"/>
    </row>
    <row r="91" spans="6:9" x14ac:dyDescent="0.3">
      <c r="F91" s="28"/>
      <c r="G91" s="28"/>
      <c r="H91" s="28"/>
      <c r="I91" s="28"/>
    </row>
    <row r="95" spans="6:9" x14ac:dyDescent="0.3">
      <c r="F95" s="28"/>
      <c r="G95" s="28"/>
      <c r="H95" s="28"/>
      <c r="I95" s="28"/>
    </row>
    <row r="96" spans="6:9" x14ac:dyDescent="0.3">
      <c r="G96" s="28"/>
    </row>
    <row r="100" spans="6:9" x14ac:dyDescent="0.3">
      <c r="G100" s="28"/>
    </row>
    <row r="101" spans="6:9" x14ac:dyDescent="0.3">
      <c r="F101" s="28"/>
      <c r="G101" s="28"/>
      <c r="H101" s="28"/>
      <c r="I101" s="28"/>
    </row>
    <row r="104" spans="6:9" x14ac:dyDescent="0.3">
      <c r="F104" s="28"/>
      <c r="G104" s="28"/>
      <c r="H104" s="28"/>
      <c r="I104" s="28"/>
    </row>
  </sheetData>
  <sortState ref="A14:J132">
    <sortCondition ref="D14:D13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K10:V11"/>
  <sheetViews>
    <sheetView workbookViewId="0"/>
  </sheetViews>
  <sheetFormatPr defaultRowHeight="14.4" x14ac:dyDescent="0.3"/>
  <cols>
    <col min="1" max="1" width="9.109375" style="110"/>
    <col min="2" max="2" width="8" style="110" bestFit="1" customWidth="1"/>
    <col min="3" max="3" width="20" style="110" bestFit="1" customWidth="1"/>
    <col min="4" max="4" width="15" style="110" bestFit="1" customWidth="1"/>
    <col min="5" max="5" width="35" style="110" bestFit="1" customWidth="1"/>
    <col min="6" max="8" width="10" style="110" bestFit="1" customWidth="1"/>
    <col min="9" max="9" width="5" style="110" bestFit="1" customWidth="1"/>
    <col min="10" max="10" width="8" style="110" bestFit="1" customWidth="1"/>
    <col min="11" max="11" width="8" style="110" customWidth="1"/>
    <col min="12" max="18" width="8" style="110" bestFit="1" customWidth="1"/>
    <col min="19" max="22" width="12" style="110" bestFit="1" customWidth="1"/>
    <col min="23" max="257" width="9.109375" style="110"/>
    <col min="258" max="258" width="8" style="110" bestFit="1" customWidth="1"/>
    <col min="259" max="259" width="20" style="110" bestFit="1" customWidth="1"/>
    <col min="260" max="260" width="15" style="110" bestFit="1" customWidth="1"/>
    <col min="261" max="261" width="35" style="110" bestFit="1" customWidth="1"/>
    <col min="262" max="264" width="10" style="110" bestFit="1" customWidth="1"/>
    <col min="265" max="265" width="5" style="110" bestFit="1" customWidth="1"/>
    <col min="266" max="274" width="8" style="110" bestFit="1" customWidth="1"/>
    <col min="275" max="278" width="12" style="110" bestFit="1" customWidth="1"/>
    <col min="279" max="513" width="9.109375" style="110"/>
    <col min="514" max="514" width="8" style="110" bestFit="1" customWidth="1"/>
    <col min="515" max="515" width="20" style="110" bestFit="1" customWidth="1"/>
    <col min="516" max="516" width="15" style="110" bestFit="1" customWidth="1"/>
    <col min="517" max="517" width="35" style="110" bestFit="1" customWidth="1"/>
    <col min="518" max="520" width="10" style="110" bestFit="1" customWidth="1"/>
    <col min="521" max="521" width="5" style="110" bestFit="1" customWidth="1"/>
    <col min="522" max="530" width="8" style="110" bestFit="1" customWidth="1"/>
    <col min="531" max="534" width="12" style="110" bestFit="1" customWidth="1"/>
    <col min="535" max="769" width="9.109375" style="110"/>
    <col min="770" max="770" width="8" style="110" bestFit="1" customWidth="1"/>
    <col min="771" max="771" width="20" style="110" bestFit="1" customWidth="1"/>
    <col min="772" max="772" width="15" style="110" bestFit="1" customWidth="1"/>
    <col min="773" max="773" width="35" style="110" bestFit="1" customWidth="1"/>
    <col min="774" max="776" width="10" style="110" bestFit="1" customWidth="1"/>
    <col min="777" max="777" width="5" style="110" bestFit="1" customWidth="1"/>
    <col min="778" max="786" width="8" style="110" bestFit="1" customWidth="1"/>
    <col min="787" max="790" width="12" style="110" bestFit="1" customWidth="1"/>
    <col min="791" max="1025" width="9.109375" style="110"/>
    <col min="1026" max="1026" width="8" style="110" bestFit="1" customWidth="1"/>
    <col min="1027" max="1027" width="20" style="110" bestFit="1" customWidth="1"/>
    <col min="1028" max="1028" width="15" style="110" bestFit="1" customWidth="1"/>
    <col min="1029" max="1029" width="35" style="110" bestFit="1" customWidth="1"/>
    <col min="1030" max="1032" width="10" style="110" bestFit="1" customWidth="1"/>
    <col min="1033" max="1033" width="5" style="110" bestFit="1" customWidth="1"/>
    <col min="1034" max="1042" width="8" style="110" bestFit="1" customWidth="1"/>
    <col min="1043" max="1046" width="12" style="110" bestFit="1" customWidth="1"/>
    <col min="1047" max="1281" width="9.109375" style="110"/>
    <col min="1282" max="1282" width="8" style="110" bestFit="1" customWidth="1"/>
    <col min="1283" max="1283" width="20" style="110" bestFit="1" customWidth="1"/>
    <col min="1284" max="1284" width="15" style="110" bestFit="1" customWidth="1"/>
    <col min="1285" max="1285" width="35" style="110" bestFit="1" customWidth="1"/>
    <col min="1286" max="1288" width="10" style="110" bestFit="1" customWidth="1"/>
    <col min="1289" max="1289" width="5" style="110" bestFit="1" customWidth="1"/>
    <col min="1290" max="1298" width="8" style="110" bestFit="1" customWidth="1"/>
    <col min="1299" max="1302" width="12" style="110" bestFit="1" customWidth="1"/>
    <col min="1303" max="1537" width="9.109375" style="110"/>
    <col min="1538" max="1538" width="8" style="110" bestFit="1" customWidth="1"/>
    <col min="1539" max="1539" width="20" style="110" bestFit="1" customWidth="1"/>
    <col min="1540" max="1540" width="15" style="110" bestFit="1" customWidth="1"/>
    <col min="1541" max="1541" width="35" style="110" bestFit="1" customWidth="1"/>
    <col min="1542" max="1544" width="10" style="110" bestFit="1" customWidth="1"/>
    <col min="1545" max="1545" width="5" style="110" bestFit="1" customWidth="1"/>
    <col min="1546" max="1554" width="8" style="110" bestFit="1" customWidth="1"/>
    <col min="1555" max="1558" width="12" style="110" bestFit="1" customWidth="1"/>
    <col min="1559" max="1793" width="9.109375" style="110"/>
    <col min="1794" max="1794" width="8" style="110" bestFit="1" customWidth="1"/>
    <col min="1795" max="1795" width="20" style="110" bestFit="1" customWidth="1"/>
    <col min="1796" max="1796" width="15" style="110" bestFit="1" customWidth="1"/>
    <col min="1797" max="1797" width="35" style="110" bestFit="1" customWidth="1"/>
    <col min="1798" max="1800" width="10" style="110" bestFit="1" customWidth="1"/>
    <col min="1801" max="1801" width="5" style="110" bestFit="1" customWidth="1"/>
    <col min="1802" max="1810" width="8" style="110" bestFit="1" customWidth="1"/>
    <col min="1811" max="1814" width="12" style="110" bestFit="1" customWidth="1"/>
    <col min="1815" max="2049" width="9.109375" style="110"/>
    <col min="2050" max="2050" width="8" style="110" bestFit="1" customWidth="1"/>
    <col min="2051" max="2051" width="20" style="110" bestFit="1" customWidth="1"/>
    <col min="2052" max="2052" width="15" style="110" bestFit="1" customWidth="1"/>
    <col min="2053" max="2053" width="35" style="110" bestFit="1" customWidth="1"/>
    <col min="2054" max="2056" width="10" style="110" bestFit="1" customWidth="1"/>
    <col min="2057" max="2057" width="5" style="110" bestFit="1" customWidth="1"/>
    <col min="2058" max="2066" width="8" style="110" bestFit="1" customWidth="1"/>
    <col min="2067" max="2070" width="12" style="110" bestFit="1" customWidth="1"/>
    <col min="2071" max="2305" width="9.109375" style="110"/>
    <col min="2306" max="2306" width="8" style="110" bestFit="1" customWidth="1"/>
    <col min="2307" max="2307" width="20" style="110" bestFit="1" customWidth="1"/>
    <col min="2308" max="2308" width="15" style="110" bestFit="1" customWidth="1"/>
    <col min="2309" max="2309" width="35" style="110" bestFit="1" customWidth="1"/>
    <col min="2310" max="2312" width="10" style="110" bestFit="1" customWidth="1"/>
    <col min="2313" max="2313" width="5" style="110" bestFit="1" customWidth="1"/>
    <col min="2314" max="2322" width="8" style="110" bestFit="1" customWidth="1"/>
    <col min="2323" max="2326" width="12" style="110" bestFit="1" customWidth="1"/>
    <col min="2327" max="2561" width="9.109375" style="110"/>
    <col min="2562" max="2562" width="8" style="110" bestFit="1" customWidth="1"/>
    <col min="2563" max="2563" width="20" style="110" bestFit="1" customWidth="1"/>
    <col min="2564" max="2564" width="15" style="110" bestFit="1" customWidth="1"/>
    <col min="2565" max="2565" width="35" style="110" bestFit="1" customWidth="1"/>
    <col min="2566" max="2568" width="10" style="110" bestFit="1" customWidth="1"/>
    <col min="2569" max="2569" width="5" style="110" bestFit="1" customWidth="1"/>
    <col min="2570" max="2578" width="8" style="110" bestFit="1" customWidth="1"/>
    <col min="2579" max="2582" width="12" style="110" bestFit="1" customWidth="1"/>
    <col min="2583" max="2817" width="9.109375" style="110"/>
    <col min="2818" max="2818" width="8" style="110" bestFit="1" customWidth="1"/>
    <col min="2819" max="2819" width="20" style="110" bestFit="1" customWidth="1"/>
    <col min="2820" max="2820" width="15" style="110" bestFit="1" customWidth="1"/>
    <col min="2821" max="2821" width="35" style="110" bestFit="1" customWidth="1"/>
    <col min="2822" max="2824" width="10" style="110" bestFit="1" customWidth="1"/>
    <col min="2825" max="2825" width="5" style="110" bestFit="1" customWidth="1"/>
    <col min="2826" max="2834" width="8" style="110" bestFit="1" customWidth="1"/>
    <col min="2835" max="2838" width="12" style="110" bestFit="1" customWidth="1"/>
    <col min="2839" max="3073" width="9.109375" style="110"/>
    <col min="3074" max="3074" width="8" style="110" bestFit="1" customWidth="1"/>
    <col min="3075" max="3075" width="20" style="110" bestFit="1" customWidth="1"/>
    <col min="3076" max="3076" width="15" style="110" bestFit="1" customWidth="1"/>
    <col min="3077" max="3077" width="35" style="110" bestFit="1" customWidth="1"/>
    <col min="3078" max="3080" width="10" style="110" bestFit="1" customWidth="1"/>
    <col min="3081" max="3081" width="5" style="110" bestFit="1" customWidth="1"/>
    <col min="3082" max="3090" width="8" style="110" bestFit="1" customWidth="1"/>
    <col min="3091" max="3094" width="12" style="110" bestFit="1" customWidth="1"/>
    <col min="3095" max="3329" width="9.109375" style="110"/>
    <col min="3330" max="3330" width="8" style="110" bestFit="1" customWidth="1"/>
    <col min="3331" max="3331" width="20" style="110" bestFit="1" customWidth="1"/>
    <col min="3332" max="3332" width="15" style="110" bestFit="1" customWidth="1"/>
    <col min="3333" max="3333" width="35" style="110" bestFit="1" customWidth="1"/>
    <col min="3334" max="3336" width="10" style="110" bestFit="1" customWidth="1"/>
    <col min="3337" max="3337" width="5" style="110" bestFit="1" customWidth="1"/>
    <col min="3338" max="3346" width="8" style="110" bestFit="1" customWidth="1"/>
    <col min="3347" max="3350" width="12" style="110" bestFit="1" customWidth="1"/>
    <col min="3351" max="3585" width="9.109375" style="110"/>
    <col min="3586" max="3586" width="8" style="110" bestFit="1" customWidth="1"/>
    <col min="3587" max="3587" width="20" style="110" bestFit="1" customWidth="1"/>
    <col min="3588" max="3588" width="15" style="110" bestFit="1" customWidth="1"/>
    <col min="3589" max="3589" width="35" style="110" bestFit="1" customWidth="1"/>
    <col min="3590" max="3592" width="10" style="110" bestFit="1" customWidth="1"/>
    <col min="3593" max="3593" width="5" style="110" bestFit="1" customWidth="1"/>
    <col min="3594" max="3602" width="8" style="110" bestFit="1" customWidth="1"/>
    <col min="3603" max="3606" width="12" style="110" bestFit="1" customWidth="1"/>
    <col min="3607" max="3841" width="9.109375" style="110"/>
    <col min="3842" max="3842" width="8" style="110" bestFit="1" customWidth="1"/>
    <col min="3843" max="3843" width="20" style="110" bestFit="1" customWidth="1"/>
    <col min="3844" max="3844" width="15" style="110" bestFit="1" customWidth="1"/>
    <col min="3845" max="3845" width="35" style="110" bestFit="1" customWidth="1"/>
    <col min="3846" max="3848" width="10" style="110" bestFit="1" customWidth="1"/>
    <col min="3849" max="3849" width="5" style="110" bestFit="1" customWidth="1"/>
    <col min="3850" max="3858" width="8" style="110" bestFit="1" customWidth="1"/>
    <col min="3859" max="3862" width="12" style="110" bestFit="1" customWidth="1"/>
    <col min="3863" max="4097" width="9.109375" style="110"/>
    <col min="4098" max="4098" width="8" style="110" bestFit="1" customWidth="1"/>
    <col min="4099" max="4099" width="20" style="110" bestFit="1" customWidth="1"/>
    <col min="4100" max="4100" width="15" style="110" bestFit="1" customWidth="1"/>
    <col min="4101" max="4101" width="35" style="110" bestFit="1" customWidth="1"/>
    <col min="4102" max="4104" width="10" style="110" bestFit="1" customWidth="1"/>
    <col min="4105" max="4105" width="5" style="110" bestFit="1" customWidth="1"/>
    <col min="4106" max="4114" width="8" style="110" bestFit="1" customWidth="1"/>
    <col min="4115" max="4118" width="12" style="110" bestFit="1" customWidth="1"/>
    <col min="4119" max="4353" width="9.109375" style="110"/>
    <col min="4354" max="4354" width="8" style="110" bestFit="1" customWidth="1"/>
    <col min="4355" max="4355" width="20" style="110" bestFit="1" customWidth="1"/>
    <col min="4356" max="4356" width="15" style="110" bestFit="1" customWidth="1"/>
    <col min="4357" max="4357" width="35" style="110" bestFit="1" customWidth="1"/>
    <col min="4358" max="4360" width="10" style="110" bestFit="1" customWidth="1"/>
    <col min="4361" max="4361" width="5" style="110" bestFit="1" customWidth="1"/>
    <col min="4362" max="4370" width="8" style="110" bestFit="1" customWidth="1"/>
    <col min="4371" max="4374" width="12" style="110" bestFit="1" customWidth="1"/>
    <col min="4375" max="4609" width="9.109375" style="110"/>
    <col min="4610" max="4610" width="8" style="110" bestFit="1" customWidth="1"/>
    <col min="4611" max="4611" width="20" style="110" bestFit="1" customWidth="1"/>
    <col min="4612" max="4612" width="15" style="110" bestFit="1" customWidth="1"/>
    <col min="4613" max="4613" width="35" style="110" bestFit="1" customWidth="1"/>
    <col min="4614" max="4616" width="10" style="110" bestFit="1" customWidth="1"/>
    <col min="4617" max="4617" width="5" style="110" bestFit="1" customWidth="1"/>
    <col min="4618" max="4626" width="8" style="110" bestFit="1" customWidth="1"/>
    <col min="4627" max="4630" width="12" style="110" bestFit="1" customWidth="1"/>
    <col min="4631" max="4865" width="9.109375" style="110"/>
    <col min="4866" max="4866" width="8" style="110" bestFit="1" customWidth="1"/>
    <col min="4867" max="4867" width="20" style="110" bestFit="1" customWidth="1"/>
    <col min="4868" max="4868" width="15" style="110" bestFit="1" customWidth="1"/>
    <col min="4869" max="4869" width="35" style="110" bestFit="1" customWidth="1"/>
    <col min="4870" max="4872" width="10" style="110" bestFit="1" customWidth="1"/>
    <col min="4873" max="4873" width="5" style="110" bestFit="1" customWidth="1"/>
    <col min="4874" max="4882" width="8" style="110" bestFit="1" customWidth="1"/>
    <col min="4883" max="4886" width="12" style="110" bestFit="1" customWidth="1"/>
    <col min="4887" max="5121" width="9.109375" style="110"/>
    <col min="5122" max="5122" width="8" style="110" bestFit="1" customWidth="1"/>
    <col min="5123" max="5123" width="20" style="110" bestFit="1" customWidth="1"/>
    <col min="5124" max="5124" width="15" style="110" bestFit="1" customWidth="1"/>
    <col min="5125" max="5125" width="35" style="110" bestFit="1" customWidth="1"/>
    <col min="5126" max="5128" width="10" style="110" bestFit="1" customWidth="1"/>
    <col min="5129" max="5129" width="5" style="110" bestFit="1" customWidth="1"/>
    <col min="5130" max="5138" width="8" style="110" bestFit="1" customWidth="1"/>
    <col min="5139" max="5142" width="12" style="110" bestFit="1" customWidth="1"/>
    <col min="5143" max="5377" width="9.109375" style="110"/>
    <col min="5378" max="5378" width="8" style="110" bestFit="1" customWidth="1"/>
    <col min="5379" max="5379" width="20" style="110" bestFit="1" customWidth="1"/>
    <col min="5380" max="5380" width="15" style="110" bestFit="1" customWidth="1"/>
    <col min="5381" max="5381" width="35" style="110" bestFit="1" customWidth="1"/>
    <col min="5382" max="5384" width="10" style="110" bestFit="1" customWidth="1"/>
    <col min="5385" max="5385" width="5" style="110" bestFit="1" customWidth="1"/>
    <col min="5386" max="5394" width="8" style="110" bestFit="1" customWidth="1"/>
    <col min="5395" max="5398" width="12" style="110" bestFit="1" customWidth="1"/>
    <col min="5399" max="5633" width="9.109375" style="110"/>
    <col min="5634" max="5634" width="8" style="110" bestFit="1" customWidth="1"/>
    <col min="5635" max="5635" width="20" style="110" bestFit="1" customWidth="1"/>
    <col min="5636" max="5636" width="15" style="110" bestFit="1" customWidth="1"/>
    <col min="5637" max="5637" width="35" style="110" bestFit="1" customWidth="1"/>
    <col min="5638" max="5640" width="10" style="110" bestFit="1" customWidth="1"/>
    <col min="5641" max="5641" width="5" style="110" bestFit="1" customWidth="1"/>
    <col min="5642" max="5650" width="8" style="110" bestFit="1" customWidth="1"/>
    <col min="5651" max="5654" width="12" style="110" bestFit="1" customWidth="1"/>
    <col min="5655" max="5889" width="9.109375" style="110"/>
    <col min="5890" max="5890" width="8" style="110" bestFit="1" customWidth="1"/>
    <col min="5891" max="5891" width="20" style="110" bestFit="1" customWidth="1"/>
    <col min="5892" max="5892" width="15" style="110" bestFit="1" customWidth="1"/>
    <col min="5893" max="5893" width="35" style="110" bestFit="1" customWidth="1"/>
    <col min="5894" max="5896" width="10" style="110" bestFit="1" customWidth="1"/>
    <col min="5897" max="5897" width="5" style="110" bestFit="1" customWidth="1"/>
    <col min="5898" max="5906" width="8" style="110" bestFit="1" customWidth="1"/>
    <col min="5907" max="5910" width="12" style="110" bestFit="1" customWidth="1"/>
    <col min="5911" max="6145" width="9.109375" style="110"/>
    <col min="6146" max="6146" width="8" style="110" bestFit="1" customWidth="1"/>
    <col min="6147" max="6147" width="20" style="110" bestFit="1" customWidth="1"/>
    <col min="6148" max="6148" width="15" style="110" bestFit="1" customWidth="1"/>
    <col min="6149" max="6149" width="35" style="110" bestFit="1" customWidth="1"/>
    <col min="6150" max="6152" width="10" style="110" bestFit="1" customWidth="1"/>
    <col min="6153" max="6153" width="5" style="110" bestFit="1" customWidth="1"/>
    <col min="6154" max="6162" width="8" style="110" bestFit="1" customWidth="1"/>
    <col min="6163" max="6166" width="12" style="110" bestFit="1" customWidth="1"/>
    <col min="6167" max="6401" width="9.109375" style="110"/>
    <col min="6402" max="6402" width="8" style="110" bestFit="1" customWidth="1"/>
    <col min="6403" max="6403" width="20" style="110" bestFit="1" customWidth="1"/>
    <col min="6404" max="6404" width="15" style="110" bestFit="1" customWidth="1"/>
    <col min="6405" max="6405" width="35" style="110" bestFit="1" customWidth="1"/>
    <col min="6406" max="6408" width="10" style="110" bestFit="1" customWidth="1"/>
    <col min="6409" max="6409" width="5" style="110" bestFit="1" customWidth="1"/>
    <col min="6410" max="6418" width="8" style="110" bestFit="1" customWidth="1"/>
    <col min="6419" max="6422" width="12" style="110" bestFit="1" customWidth="1"/>
    <col min="6423" max="6657" width="9.109375" style="110"/>
    <col min="6658" max="6658" width="8" style="110" bestFit="1" customWidth="1"/>
    <col min="6659" max="6659" width="20" style="110" bestFit="1" customWidth="1"/>
    <col min="6660" max="6660" width="15" style="110" bestFit="1" customWidth="1"/>
    <col min="6661" max="6661" width="35" style="110" bestFit="1" customWidth="1"/>
    <col min="6662" max="6664" width="10" style="110" bestFit="1" customWidth="1"/>
    <col min="6665" max="6665" width="5" style="110" bestFit="1" customWidth="1"/>
    <col min="6666" max="6674" width="8" style="110" bestFit="1" customWidth="1"/>
    <col min="6675" max="6678" width="12" style="110" bestFit="1" customWidth="1"/>
    <col min="6679" max="6913" width="9.109375" style="110"/>
    <col min="6914" max="6914" width="8" style="110" bestFit="1" customWidth="1"/>
    <col min="6915" max="6915" width="20" style="110" bestFit="1" customWidth="1"/>
    <col min="6916" max="6916" width="15" style="110" bestFit="1" customWidth="1"/>
    <col min="6917" max="6917" width="35" style="110" bestFit="1" customWidth="1"/>
    <col min="6918" max="6920" width="10" style="110" bestFit="1" customWidth="1"/>
    <col min="6921" max="6921" width="5" style="110" bestFit="1" customWidth="1"/>
    <col min="6922" max="6930" width="8" style="110" bestFit="1" customWidth="1"/>
    <col min="6931" max="6934" width="12" style="110" bestFit="1" customWidth="1"/>
    <col min="6935" max="7169" width="9.109375" style="110"/>
    <col min="7170" max="7170" width="8" style="110" bestFit="1" customWidth="1"/>
    <col min="7171" max="7171" width="20" style="110" bestFit="1" customWidth="1"/>
    <col min="7172" max="7172" width="15" style="110" bestFit="1" customWidth="1"/>
    <col min="7173" max="7173" width="35" style="110" bestFit="1" customWidth="1"/>
    <col min="7174" max="7176" width="10" style="110" bestFit="1" customWidth="1"/>
    <col min="7177" max="7177" width="5" style="110" bestFit="1" customWidth="1"/>
    <col min="7178" max="7186" width="8" style="110" bestFit="1" customWidth="1"/>
    <col min="7187" max="7190" width="12" style="110" bestFit="1" customWidth="1"/>
    <col min="7191" max="7425" width="9.109375" style="110"/>
    <col min="7426" max="7426" width="8" style="110" bestFit="1" customWidth="1"/>
    <col min="7427" max="7427" width="20" style="110" bestFit="1" customWidth="1"/>
    <col min="7428" max="7428" width="15" style="110" bestFit="1" customWidth="1"/>
    <col min="7429" max="7429" width="35" style="110" bestFit="1" customWidth="1"/>
    <col min="7430" max="7432" width="10" style="110" bestFit="1" customWidth="1"/>
    <col min="7433" max="7433" width="5" style="110" bestFit="1" customWidth="1"/>
    <col min="7434" max="7442" width="8" style="110" bestFit="1" customWidth="1"/>
    <col min="7443" max="7446" width="12" style="110" bestFit="1" customWidth="1"/>
    <col min="7447" max="7681" width="9.109375" style="110"/>
    <col min="7682" max="7682" width="8" style="110" bestFit="1" customWidth="1"/>
    <col min="7683" max="7683" width="20" style="110" bestFit="1" customWidth="1"/>
    <col min="7684" max="7684" width="15" style="110" bestFit="1" customWidth="1"/>
    <col min="7685" max="7685" width="35" style="110" bestFit="1" customWidth="1"/>
    <col min="7686" max="7688" width="10" style="110" bestFit="1" customWidth="1"/>
    <col min="7689" max="7689" width="5" style="110" bestFit="1" customWidth="1"/>
    <col min="7690" max="7698" width="8" style="110" bestFit="1" customWidth="1"/>
    <col min="7699" max="7702" width="12" style="110" bestFit="1" customWidth="1"/>
    <col min="7703" max="7937" width="9.109375" style="110"/>
    <col min="7938" max="7938" width="8" style="110" bestFit="1" customWidth="1"/>
    <col min="7939" max="7939" width="20" style="110" bestFit="1" customWidth="1"/>
    <col min="7940" max="7940" width="15" style="110" bestFit="1" customWidth="1"/>
    <col min="7941" max="7941" width="35" style="110" bestFit="1" customWidth="1"/>
    <col min="7942" max="7944" width="10" style="110" bestFit="1" customWidth="1"/>
    <col min="7945" max="7945" width="5" style="110" bestFit="1" customWidth="1"/>
    <col min="7946" max="7954" width="8" style="110" bestFit="1" customWidth="1"/>
    <col min="7955" max="7958" width="12" style="110" bestFit="1" customWidth="1"/>
    <col min="7959" max="8193" width="9.109375" style="110"/>
    <col min="8194" max="8194" width="8" style="110" bestFit="1" customWidth="1"/>
    <col min="8195" max="8195" width="20" style="110" bestFit="1" customWidth="1"/>
    <col min="8196" max="8196" width="15" style="110" bestFit="1" customWidth="1"/>
    <col min="8197" max="8197" width="35" style="110" bestFit="1" customWidth="1"/>
    <col min="8198" max="8200" width="10" style="110" bestFit="1" customWidth="1"/>
    <col min="8201" max="8201" width="5" style="110" bestFit="1" customWidth="1"/>
    <col min="8202" max="8210" width="8" style="110" bestFit="1" customWidth="1"/>
    <col min="8211" max="8214" width="12" style="110" bestFit="1" customWidth="1"/>
    <col min="8215" max="8449" width="9.109375" style="110"/>
    <col min="8450" max="8450" width="8" style="110" bestFit="1" customWidth="1"/>
    <col min="8451" max="8451" width="20" style="110" bestFit="1" customWidth="1"/>
    <col min="8452" max="8452" width="15" style="110" bestFit="1" customWidth="1"/>
    <col min="8453" max="8453" width="35" style="110" bestFit="1" customWidth="1"/>
    <col min="8454" max="8456" width="10" style="110" bestFit="1" customWidth="1"/>
    <col min="8457" max="8457" width="5" style="110" bestFit="1" customWidth="1"/>
    <col min="8458" max="8466" width="8" style="110" bestFit="1" customWidth="1"/>
    <col min="8467" max="8470" width="12" style="110" bestFit="1" customWidth="1"/>
    <col min="8471" max="8705" width="9.109375" style="110"/>
    <col min="8706" max="8706" width="8" style="110" bestFit="1" customWidth="1"/>
    <col min="8707" max="8707" width="20" style="110" bestFit="1" customWidth="1"/>
    <col min="8708" max="8708" width="15" style="110" bestFit="1" customWidth="1"/>
    <col min="8709" max="8709" width="35" style="110" bestFit="1" customWidth="1"/>
    <col min="8710" max="8712" width="10" style="110" bestFit="1" customWidth="1"/>
    <col min="8713" max="8713" width="5" style="110" bestFit="1" customWidth="1"/>
    <col min="8714" max="8722" width="8" style="110" bestFit="1" customWidth="1"/>
    <col min="8723" max="8726" width="12" style="110" bestFit="1" customWidth="1"/>
    <col min="8727" max="8961" width="9.109375" style="110"/>
    <col min="8962" max="8962" width="8" style="110" bestFit="1" customWidth="1"/>
    <col min="8963" max="8963" width="20" style="110" bestFit="1" customWidth="1"/>
    <col min="8964" max="8964" width="15" style="110" bestFit="1" customWidth="1"/>
    <col min="8965" max="8965" width="35" style="110" bestFit="1" customWidth="1"/>
    <col min="8966" max="8968" width="10" style="110" bestFit="1" customWidth="1"/>
    <col min="8969" max="8969" width="5" style="110" bestFit="1" customWidth="1"/>
    <col min="8970" max="8978" width="8" style="110" bestFit="1" customWidth="1"/>
    <col min="8979" max="8982" width="12" style="110" bestFit="1" customWidth="1"/>
    <col min="8983" max="9217" width="9.109375" style="110"/>
    <col min="9218" max="9218" width="8" style="110" bestFit="1" customWidth="1"/>
    <col min="9219" max="9219" width="20" style="110" bestFit="1" customWidth="1"/>
    <col min="9220" max="9220" width="15" style="110" bestFit="1" customWidth="1"/>
    <col min="9221" max="9221" width="35" style="110" bestFit="1" customWidth="1"/>
    <col min="9222" max="9224" width="10" style="110" bestFit="1" customWidth="1"/>
    <col min="9225" max="9225" width="5" style="110" bestFit="1" customWidth="1"/>
    <col min="9226" max="9234" width="8" style="110" bestFit="1" customWidth="1"/>
    <col min="9235" max="9238" width="12" style="110" bestFit="1" customWidth="1"/>
    <col min="9239" max="9473" width="9.109375" style="110"/>
    <col min="9474" max="9474" width="8" style="110" bestFit="1" customWidth="1"/>
    <col min="9475" max="9475" width="20" style="110" bestFit="1" customWidth="1"/>
    <col min="9476" max="9476" width="15" style="110" bestFit="1" customWidth="1"/>
    <col min="9477" max="9477" width="35" style="110" bestFit="1" customWidth="1"/>
    <col min="9478" max="9480" width="10" style="110" bestFit="1" customWidth="1"/>
    <col min="9481" max="9481" width="5" style="110" bestFit="1" customWidth="1"/>
    <col min="9482" max="9490" width="8" style="110" bestFit="1" customWidth="1"/>
    <col min="9491" max="9494" width="12" style="110" bestFit="1" customWidth="1"/>
    <col min="9495" max="9729" width="9.109375" style="110"/>
    <col min="9730" max="9730" width="8" style="110" bestFit="1" customWidth="1"/>
    <col min="9731" max="9731" width="20" style="110" bestFit="1" customWidth="1"/>
    <col min="9732" max="9732" width="15" style="110" bestFit="1" customWidth="1"/>
    <col min="9733" max="9733" width="35" style="110" bestFit="1" customWidth="1"/>
    <col min="9734" max="9736" width="10" style="110" bestFit="1" customWidth="1"/>
    <col min="9737" max="9737" width="5" style="110" bestFit="1" customWidth="1"/>
    <col min="9738" max="9746" width="8" style="110" bestFit="1" customWidth="1"/>
    <col min="9747" max="9750" width="12" style="110" bestFit="1" customWidth="1"/>
    <col min="9751" max="9985" width="9.109375" style="110"/>
    <col min="9986" max="9986" width="8" style="110" bestFit="1" customWidth="1"/>
    <col min="9987" max="9987" width="20" style="110" bestFit="1" customWidth="1"/>
    <col min="9988" max="9988" width="15" style="110" bestFit="1" customWidth="1"/>
    <col min="9989" max="9989" width="35" style="110" bestFit="1" customWidth="1"/>
    <col min="9990" max="9992" width="10" style="110" bestFit="1" customWidth="1"/>
    <col min="9993" max="9993" width="5" style="110" bestFit="1" customWidth="1"/>
    <col min="9994" max="10002" width="8" style="110" bestFit="1" customWidth="1"/>
    <col min="10003" max="10006" width="12" style="110" bestFit="1" customWidth="1"/>
    <col min="10007" max="10241" width="9.109375" style="110"/>
    <col min="10242" max="10242" width="8" style="110" bestFit="1" customWidth="1"/>
    <col min="10243" max="10243" width="20" style="110" bestFit="1" customWidth="1"/>
    <col min="10244" max="10244" width="15" style="110" bestFit="1" customWidth="1"/>
    <col min="10245" max="10245" width="35" style="110" bestFit="1" customWidth="1"/>
    <col min="10246" max="10248" width="10" style="110" bestFit="1" customWidth="1"/>
    <col min="10249" max="10249" width="5" style="110" bestFit="1" customWidth="1"/>
    <col min="10250" max="10258" width="8" style="110" bestFit="1" customWidth="1"/>
    <col min="10259" max="10262" width="12" style="110" bestFit="1" customWidth="1"/>
    <col min="10263" max="10497" width="9.109375" style="110"/>
    <col min="10498" max="10498" width="8" style="110" bestFit="1" customWidth="1"/>
    <col min="10499" max="10499" width="20" style="110" bestFit="1" customWidth="1"/>
    <col min="10500" max="10500" width="15" style="110" bestFit="1" customWidth="1"/>
    <col min="10501" max="10501" width="35" style="110" bestFit="1" customWidth="1"/>
    <col min="10502" max="10504" width="10" style="110" bestFit="1" customWidth="1"/>
    <col min="10505" max="10505" width="5" style="110" bestFit="1" customWidth="1"/>
    <col min="10506" max="10514" width="8" style="110" bestFit="1" customWidth="1"/>
    <col min="10515" max="10518" width="12" style="110" bestFit="1" customWidth="1"/>
    <col min="10519" max="10753" width="9.109375" style="110"/>
    <col min="10754" max="10754" width="8" style="110" bestFit="1" customWidth="1"/>
    <col min="10755" max="10755" width="20" style="110" bestFit="1" customWidth="1"/>
    <col min="10756" max="10756" width="15" style="110" bestFit="1" customWidth="1"/>
    <col min="10757" max="10757" width="35" style="110" bestFit="1" customWidth="1"/>
    <col min="10758" max="10760" width="10" style="110" bestFit="1" customWidth="1"/>
    <col min="10761" max="10761" width="5" style="110" bestFit="1" customWidth="1"/>
    <col min="10762" max="10770" width="8" style="110" bestFit="1" customWidth="1"/>
    <col min="10771" max="10774" width="12" style="110" bestFit="1" customWidth="1"/>
    <col min="10775" max="11009" width="9.109375" style="110"/>
    <col min="11010" max="11010" width="8" style="110" bestFit="1" customWidth="1"/>
    <col min="11011" max="11011" width="20" style="110" bestFit="1" customWidth="1"/>
    <col min="11012" max="11012" width="15" style="110" bestFit="1" customWidth="1"/>
    <col min="11013" max="11013" width="35" style="110" bestFit="1" customWidth="1"/>
    <col min="11014" max="11016" width="10" style="110" bestFit="1" customWidth="1"/>
    <col min="11017" max="11017" width="5" style="110" bestFit="1" customWidth="1"/>
    <col min="11018" max="11026" width="8" style="110" bestFit="1" customWidth="1"/>
    <col min="11027" max="11030" width="12" style="110" bestFit="1" customWidth="1"/>
    <col min="11031" max="11265" width="9.109375" style="110"/>
    <col min="11266" max="11266" width="8" style="110" bestFit="1" customWidth="1"/>
    <col min="11267" max="11267" width="20" style="110" bestFit="1" customWidth="1"/>
    <col min="11268" max="11268" width="15" style="110" bestFit="1" customWidth="1"/>
    <col min="11269" max="11269" width="35" style="110" bestFit="1" customWidth="1"/>
    <col min="11270" max="11272" width="10" style="110" bestFit="1" customWidth="1"/>
    <col min="11273" max="11273" width="5" style="110" bestFit="1" customWidth="1"/>
    <col min="11274" max="11282" width="8" style="110" bestFit="1" customWidth="1"/>
    <col min="11283" max="11286" width="12" style="110" bestFit="1" customWidth="1"/>
    <col min="11287" max="11521" width="9.109375" style="110"/>
    <col min="11522" max="11522" width="8" style="110" bestFit="1" customWidth="1"/>
    <col min="11523" max="11523" width="20" style="110" bestFit="1" customWidth="1"/>
    <col min="11524" max="11524" width="15" style="110" bestFit="1" customWidth="1"/>
    <col min="11525" max="11525" width="35" style="110" bestFit="1" customWidth="1"/>
    <col min="11526" max="11528" width="10" style="110" bestFit="1" customWidth="1"/>
    <col min="11529" max="11529" width="5" style="110" bestFit="1" customWidth="1"/>
    <col min="11530" max="11538" width="8" style="110" bestFit="1" customWidth="1"/>
    <col min="11539" max="11542" width="12" style="110" bestFit="1" customWidth="1"/>
    <col min="11543" max="11777" width="9.109375" style="110"/>
    <col min="11778" max="11778" width="8" style="110" bestFit="1" customWidth="1"/>
    <col min="11779" max="11779" width="20" style="110" bestFit="1" customWidth="1"/>
    <col min="11780" max="11780" width="15" style="110" bestFit="1" customWidth="1"/>
    <col min="11781" max="11781" width="35" style="110" bestFit="1" customWidth="1"/>
    <col min="11782" max="11784" width="10" style="110" bestFit="1" customWidth="1"/>
    <col min="11785" max="11785" width="5" style="110" bestFit="1" customWidth="1"/>
    <col min="11786" max="11794" width="8" style="110" bestFit="1" customWidth="1"/>
    <col min="11795" max="11798" width="12" style="110" bestFit="1" customWidth="1"/>
    <col min="11799" max="12033" width="9.109375" style="110"/>
    <col min="12034" max="12034" width="8" style="110" bestFit="1" customWidth="1"/>
    <col min="12035" max="12035" width="20" style="110" bestFit="1" customWidth="1"/>
    <col min="12036" max="12036" width="15" style="110" bestFit="1" customWidth="1"/>
    <col min="12037" max="12037" width="35" style="110" bestFit="1" customWidth="1"/>
    <col min="12038" max="12040" width="10" style="110" bestFit="1" customWidth="1"/>
    <col min="12041" max="12041" width="5" style="110" bestFit="1" customWidth="1"/>
    <col min="12042" max="12050" width="8" style="110" bestFit="1" customWidth="1"/>
    <col min="12051" max="12054" width="12" style="110" bestFit="1" customWidth="1"/>
    <col min="12055" max="12289" width="9.109375" style="110"/>
    <col min="12290" max="12290" width="8" style="110" bestFit="1" customWidth="1"/>
    <col min="12291" max="12291" width="20" style="110" bestFit="1" customWidth="1"/>
    <col min="12292" max="12292" width="15" style="110" bestFit="1" customWidth="1"/>
    <col min="12293" max="12293" width="35" style="110" bestFit="1" customWidth="1"/>
    <col min="12294" max="12296" width="10" style="110" bestFit="1" customWidth="1"/>
    <col min="12297" max="12297" width="5" style="110" bestFit="1" customWidth="1"/>
    <col min="12298" max="12306" width="8" style="110" bestFit="1" customWidth="1"/>
    <col min="12307" max="12310" width="12" style="110" bestFit="1" customWidth="1"/>
    <col min="12311" max="12545" width="9.109375" style="110"/>
    <col min="12546" max="12546" width="8" style="110" bestFit="1" customWidth="1"/>
    <col min="12547" max="12547" width="20" style="110" bestFit="1" customWidth="1"/>
    <col min="12548" max="12548" width="15" style="110" bestFit="1" customWidth="1"/>
    <col min="12549" max="12549" width="35" style="110" bestFit="1" customWidth="1"/>
    <col min="12550" max="12552" width="10" style="110" bestFit="1" customWidth="1"/>
    <col min="12553" max="12553" width="5" style="110" bestFit="1" customWidth="1"/>
    <col min="12554" max="12562" width="8" style="110" bestFit="1" customWidth="1"/>
    <col min="12563" max="12566" width="12" style="110" bestFit="1" customWidth="1"/>
    <col min="12567" max="12801" width="9.109375" style="110"/>
    <col min="12802" max="12802" width="8" style="110" bestFit="1" customWidth="1"/>
    <col min="12803" max="12803" width="20" style="110" bestFit="1" customWidth="1"/>
    <col min="12804" max="12804" width="15" style="110" bestFit="1" customWidth="1"/>
    <col min="12805" max="12805" width="35" style="110" bestFit="1" customWidth="1"/>
    <col min="12806" max="12808" width="10" style="110" bestFit="1" customWidth="1"/>
    <col min="12809" max="12809" width="5" style="110" bestFit="1" customWidth="1"/>
    <col min="12810" max="12818" width="8" style="110" bestFit="1" customWidth="1"/>
    <col min="12819" max="12822" width="12" style="110" bestFit="1" customWidth="1"/>
    <col min="12823" max="13057" width="9.109375" style="110"/>
    <col min="13058" max="13058" width="8" style="110" bestFit="1" customWidth="1"/>
    <col min="13059" max="13059" width="20" style="110" bestFit="1" customWidth="1"/>
    <col min="13060" max="13060" width="15" style="110" bestFit="1" customWidth="1"/>
    <col min="13061" max="13061" width="35" style="110" bestFit="1" customWidth="1"/>
    <col min="13062" max="13064" width="10" style="110" bestFit="1" customWidth="1"/>
    <col min="13065" max="13065" width="5" style="110" bestFit="1" customWidth="1"/>
    <col min="13066" max="13074" width="8" style="110" bestFit="1" customWidth="1"/>
    <col min="13075" max="13078" width="12" style="110" bestFit="1" customWidth="1"/>
    <col min="13079" max="13313" width="9.109375" style="110"/>
    <col min="13314" max="13314" width="8" style="110" bestFit="1" customWidth="1"/>
    <col min="13315" max="13315" width="20" style="110" bestFit="1" customWidth="1"/>
    <col min="13316" max="13316" width="15" style="110" bestFit="1" customWidth="1"/>
    <col min="13317" max="13317" width="35" style="110" bestFit="1" customWidth="1"/>
    <col min="13318" max="13320" width="10" style="110" bestFit="1" customWidth="1"/>
    <col min="13321" max="13321" width="5" style="110" bestFit="1" customWidth="1"/>
    <col min="13322" max="13330" width="8" style="110" bestFit="1" customWidth="1"/>
    <col min="13331" max="13334" width="12" style="110" bestFit="1" customWidth="1"/>
    <col min="13335" max="13569" width="9.109375" style="110"/>
    <col min="13570" max="13570" width="8" style="110" bestFit="1" customWidth="1"/>
    <col min="13571" max="13571" width="20" style="110" bestFit="1" customWidth="1"/>
    <col min="13572" max="13572" width="15" style="110" bestFit="1" customWidth="1"/>
    <col min="13573" max="13573" width="35" style="110" bestFit="1" customWidth="1"/>
    <col min="13574" max="13576" width="10" style="110" bestFit="1" customWidth="1"/>
    <col min="13577" max="13577" width="5" style="110" bestFit="1" customWidth="1"/>
    <col min="13578" max="13586" width="8" style="110" bestFit="1" customWidth="1"/>
    <col min="13587" max="13590" width="12" style="110" bestFit="1" customWidth="1"/>
    <col min="13591" max="13825" width="9.109375" style="110"/>
    <col min="13826" max="13826" width="8" style="110" bestFit="1" customWidth="1"/>
    <col min="13827" max="13827" width="20" style="110" bestFit="1" customWidth="1"/>
    <col min="13828" max="13828" width="15" style="110" bestFit="1" customWidth="1"/>
    <col min="13829" max="13829" width="35" style="110" bestFit="1" customWidth="1"/>
    <col min="13830" max="13832" width="10" style="110" bestFit="1" customWidth="1"/>
    <col min="13833" max="13833" width="5" style="110" bestFit="1" customWidth="1"/>
    <col min="13834" max="13842" width="8" style="110" bestFit="1" customWidth="1"/>
    <col min="13843" max="13846" width="12" style="110" bestFit="1" customWidth="1"/>
    <col min="13847" max="14081" width="9.109375" style="110"/>
    <col min="14082" max="14082" width="8" style="110" bestFit="1" customWidth="1"/>
    <col min="14083" max="14083" width="20" style="110" bestFit="1" customWidth="1"/>
    <col min="14084" max="14084" width="15" style="110" bestFit="1" customWidth="1"/>
    <col min="14085" max="14085" width="35" style="110" bestFit="1" customWidth="1"/>
    <col min="14086" max="14088" width="10" style="110" bestFit="1" customWidth="1"/>
    <col min="14089" max="14089" width="5" style="110" bestFit="1" customWidth="1"/>
    <col min="14090" max="14098" width="8" style="110" bestFit="1" customWidth="1"/>
    <col min="14099" max="14102" width="12" style="110" bestFit="1" customWidth="1"/>
    <col min="14103" max="14337" width="9.109375" style="110"/>
    <col min="14338" max="14338" width="8" style="110" bestFit="1" customWidth="1"/>
    <col min="14339" max="14339" width="20" style="110" bestFit="1" customWidth="1"/>
    <col min="14340" max="14340" width="15" style="110" bestFit="1" customWidth="1"/>
    <col min="14341" max="14341" width="35" style="110" bestFit="1" customWidth="1"/>
    <col min="14342" max="14344" width="10" style="110" bestFit="1" customWidth="1"/>
    <col min="14345" max="14345" width="5" style="110" bestFit="1" customWidth="1"/>
    <col min="14346" max="14354" width="8" style="110" bestFit="1" customWidth="1"/>
    <col min="14355" max="14358" width="12" style="110" bestFit="1" customWidth="1"/>
    <col min="14359" max="14593" width="9.109375" style="110"/>
    <col min="14594" max="14594" width="8" style="110" bestFit="1" customWidth="1"/>
    <col min="14595" max="14595" width="20" style="110" bestFit="1" customWidth="1"/>
    <col min="14596" max="14596" width="15" style="110" bestFit="1" customWidth="1"/>
    <col min="14597" max="14597" width="35" style="110" bestFit="1" customWidth="1"/>
    <col min="14598" max="14600" width="10" style="110" bestFit="1" customWidth="1"/>
    <col min="14601" max="14601" width="5" style="110" bestFit="1" customWidth="1"/>
    <col min="14602" max="14610" width="8" style="110" bestFit="1" customWidth="1"/>
    <col min="14611" max="14614" width="12" style="110" bestFit="1" customWidth="1"/>
    <col min="14615" max="14849" width="9.109375" style="110"/>
    <col min="14850" max="14850" width="8" style="110" bestFit="1" customWidth="1"/>
    <col min="14851" max="14851" width="20" style="110" bestFit="1" customWidth="1"/>
    <col min="14852" max="14852" width="15" style="110" bestFit="1" customWidth="1"/>
    <col min="14853" max="14853" width="35" style="110" bestFit="1" customWidth="1"/>
    <col min="14854" max="14856" width="10" style="110" bestFit="1" customWidth="1"/>
    <col min="14857" max="14857" width="5" style="110" bestFit="1" customWidth="1"/>
    <col min="14858" max="14866" width="8" style="110" bestFit="1" customWidth="1"/>
    <col min="14867" max="14870" width="12" style="110" bestFit="1" customWidth="1"/>
    <col min="14871" max="15105" width="9.109375" style="110"/>
    <col min="15106" max="15106" width="8" style="110" bestFit="1" customWidth="1"/>
    <col min="15107" max="15107" width="20" style="110" bestFit="1" customWidth="1"/>
    <col min="15108" max="15108" width="15" style="110" bestFit="1" customWidth="1"/>
    <col min="15109" max="15109" width="35" style="110" bestFit="1" customWidth="1"/>
    <col min="15110" max="15112" width="10" style="110" bestFit="1" customWidth="1"/>
    <col min="15113" max="15113" width="5" style="110" bestFit="1" customWidth="1"/>
    <col min="15114" max="15122" width="8" style="110" bestFit="1" customWidth="1"/>
    <col min="15123" max="15126" width="12" style="110" bestFit="1" customWidth="1"/>
    <col min="15127" max="15361" width="9.109375" style="110"/>
    <col min="15362" max="15362" width="8" style="110" bestFit="1" customWidth="1"/>
    <col min="15363" max="15363" width="20" style="110" bestFit="1" customWidth="1"/>
    <col min="15364" max="15364" width="15" style="110" bestFit="1" customWidth="1"/>
    <col min="15365" max="15365" width="35" style="110" bestFit="1" customWidth="1"/>
    <col min="15366" max="15368" width="10" style="110" bestFit="1" customWidth="1"/>
    <col min="15369" max="15369" width="5" style="110" bestFit="1" customWidth="1"/>
    <col min="15370" max="15378" width="8" style="110" bestFit="1" customWidth="1"/>
    <col min="15379" max="15382" width="12" style="110" bestFit="1" customWidth="1"/>
    <col min="15383" max="15617" width="9.109375" style="110"/>
    <col min="15618" max="15618" width="8" style="110" bestFit="1" customWidth="1"/>
    <col min="15619" max="15619" width="20" style="110" bestFit="1" customWidth="1"/>
    <col min="15620" max="15620" width="15" style="110" bestFit="1" customWidth="1"/>
    <col min="15621" max="15621" width="35" style="110" bestFit="1" customWidth="1"/>
    <col min="15622" max="15624" width="10" style="110" bestFit="1" customWidth="1"/>
    <col min="15625" max="15625" width="5" style="110" bestFit="1" customWidth="1"/>
    <col min="15626" max="15634" width="8" style="110" bestFit="1" customWidth="1"/>
    <col min="15635" max="15638" width="12" style="110" bestFit="1" customWidth="1"/>
    <col min="15639" max="15873" width="9.109375" style="110"/>
    <col min="15874" max="15874" width="8" style="110" bestFit="1" customWidth="1"/>
    <col min="15875" max="15875" width="20" style="110" bestFit="1" customWidth="1"/>
    <col min="15876" max="15876" width="15" style="110" bestFit="1" customWidth="1"/>
    <col min="15877" max="15877" width="35" style="110" bestFit="1" customWidth="1"/>
    <col min="15878" max="15880" width="10" style="110" bestFit="1" customWidth="1"/>
    <col min="15881" max="15881" width="5" style="110" bestFit="1" customWidth="1"/>
    <col min="15882" max="15890" width="8" style="110" bestFit="1" customWidth="1"/>
    <col min="15891" max="15894" width="12" style="110" bestFit="1" customWidth="1"/>
    <col min="15895" max="16129" width="9.109375" style="110"/>
    <col min="16130" max="16130" width="8" style="110" bestFit="1" customWidth="1"/>
    <col min="16131" max="16131" width="20" style="110" bestFit="1" customWidth="1"/>
    <col min="16132" max="16132" width="15" style="110" bestFit="1" customWidth="1"/>
    <col min="16133" max="16133" width="35" style="110" bestFit="1" customWidth="1"/>
    <col min="16134" max="16136" width="10" style="110" bestFit="1" customWidth="1"/>
    <col min="16137" max="16137" width="5" style="110" bestFit="1" customWidth="1"/>
    <col min="16138" max="16146" width="8" style="110" bestFit="1" customWidth="1"/>
    <col min="16147" max="16150" width="12" style="110" bestFit="1" customWidth="1"/>
    <col min="16151" max="16384" width="9.109375" style="110"/>
  </cols>
  <sheetData>
    <row r="10" spans="11:22" x14ac:dyDescent="0.25">
      <c r="K10" s="365"/>
      <c r="N10" s="132"/>
      <c r="O10" s="132"/>
      <c r="P10" s="132"/>
      <c r="Q10" s="132"/>
      <c r="S10" s="133"/>
      <c r="T10" s="133"/>
      <c r="U10" s="133"/>
      <c r="V10" s="133"/>
    </row>
    <row r="11" spans="11:22" x14ac:dyDescent="0.25">
      <c r="K11" s="365"/>
      <c r="N11" s="132"/>
      <c r="O11" s="132"/>
      <c r="P11" s="132"/>
      <c r="Q11" s="132"/>
      <c r="S11" s="133"/>
      <c r="T11" s="133"/>
      <c r="U11" s="133"/>
      <c r="V11" s="1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New Position Checklist</vt:lpstr>
      <vt:lpstr>Dates-Rates</vt:lpstr>
      <vt:lpstr>Example - Summary</vt:lpstr>
      <vt:lpstr>Example - Decision Unit E232</vt:lpstr>
      <vt:lpstr>Example - NEBS Actuals Download</vt:lpstr>
      <vt:lpstr>Example - NEBS 130 Download</vt:lpstr>
      <vt:lpstr>Instructions</vt:lpstr>
      <vt:lpstr>NEBS Actuals Template</vt:lpstr>
      <vt:lpstr>NEBS 130 Template</vt:lpstr>
      <vt:lpstr>Summary Template</vt:lpstr>
      <vt:lpstr>Decision Unit Template</vt:lpstr>
      <vt:lpstr>'Decision Unit Template'!Location</vt:lpstr>
      <vt:lpstr>'Example - Decision Unit E232'!Location</vt:lpstr>
      <vt:lpstr>'Decision Unit Template'!Print_Area</vt:lpstr>
      <vt:lpstr>'Example - Decision Unit E232'!Print_Area</vt:lpstr>
      <vt:lpstr>'Example - Summary'!Print_Area</vt:lpstr>
      <vt:lpstr>Instructions!Print_Area</vt:lpstr>
      <vt:lpstr>'Summary Template'!Print_Area</vt:lpstr>
      <vt:lpstr>'Decision Unit Template'!Print_Titles</vt:lpstr>
      <vt:lpstr>'Example - Decision Unit E232'!Print_Titles</vt:lpstr>
    </vt:vector>
  </TitlesOfParts>
  <Company>Div for Aging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blberry</dc:creator>
  <cp:lastModifiedBy>Heather Field</cp:lastModifiedBy>
  <cp:lastPrinted>2018-03-14T22:51:41Z</cp:lastPrinted>
  <dcterms:created xsi:type="dcterms:W3CDTF">2010-07-24T19:22:38Z</dcterms:created>
  <dcterms:modified xsi:type="dcterms:W3CDTF">2018-05-04T18:15:03Z</dcterms:modified>
</cp:coreProperties>
</file>